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Intro" sheetId="1" r:id="rId1"/>
    <sheet name="Expenses" sheetId="2" r:id="rId2"/>
    <sheet name="Operating" sheetId="3" r:id="rId3"/>
    <sheet name="Mortgage" sheetId="4" r:id="rId4"/>
    <sheet name="BTCF" sheetId="5" r:id="rId5"/>
    <sheet name="ATCF" sheetId="6" r:id="rId6"/>
    <sheet name="Sale" sheetId="7" r:id="rId7"/>
    <sheet name="Ratio1" sheetId="8" r:id="rId8"/>
    <sheet name="Ratio2" sheetId="9" r:id="rId9"/>
    <sheet name="DCF" sheetId="10" r:id="rId10"/>
    <sheet name="Risk" sheetId="11" r:id="rId11"/>
  </sheets>
  <definedNames/>
  <calcPr fullCalcOnLoad="1"/>
</workbook>
</file>

<file path=xl/sharedStrings.xml><?xml version="1.0" encoding="utf-8"?>
<sst xmlns="http://schemas.openxmlformats.org/spreadsheetml/2006/main" count="440" uniqueCount="275">
  <si>
    <t>Purchase price:</t>
  </si>
  <si>
    <t>Mortgage Amount:</t>
  </si>
  <si>
    <t>Mortgage Term:</t>
  </si>
  <si>
    <t>Interest Rate:</t>
  </si>
  <si>
    <t>Initial Equity:</t>
  </si>
  <si>
    <t>Annual Debt Service:</t>
  </si>
  <si>
    <t>Monthly Debt Service:</t>
  </si>
  <si>
    <t>Annual Rent / SF</t>
  </si>
  <si>
    <t>Monthly Rent</t>
  </si>
  <si>
    <t>Amortization:</t>
  </si>
  <si>
    <t>(annual = 1, monthly = 12)</t>
  </si>
  <si>
    <t>EGI</t>
  </si>
  <si>
    <t>OE</t>
  </si>
  <si>
    <t>NOI</t>
  </si>
  <si>
    <t>BTCF</t>
  </si>
  <si>
    <t>Marginal Tax Rate:</t>
  </si>
  <si>
    <t>ATCF</t>
  </si>
  <si>
    <t xml:space="preserve">  BTCF:</t>
  </si>
  <si>
    <t xml:space="preserve">  BTER:</t>
  </si>
  <si>
    <t xml:space="preserve">  ATCF:</t>
  </si>
  <si>
    <t xml:space="preserve">  ATER:</t>
  </si>
  <si>
    <t>Forecasting Property Value</t>
  </si>
  <si>
    <t>Anticipated holding period:</t>
  </si>
  <si>
    <t>Potential Gross Rent</t>
  </si>
  <si>
    <t>Two-Bedroom</t>
  </si>
  <si>
    <t>One-Bedroom</t>
  </si>
  <si>
    <t>Studio Units</t>
  </si>
  <si>
    <t>Units</t>
  </si>
  <si>
    <t>Non-residential input:</t>
  </si>
  <si>
    <t>Potential Gross Rent inputs:</t>
  </si>
  <si>
    <t>Square Feet</t>
  </si>
  <si>
    <t>0*</t>
  </si>
  <si>
    <t xml:space="preserve">   * fill in this box only if monthly rents above are current and need to be adjusted for the first year of operations</t>
  </si>
  <si>
    <t xml:space="preserve">Annual gross rent estimate:  </t>
  </si>
  <si>
    <t>Estimated vacancy rates:</t>
  </si>
  <si>
    <t>(to the following year)</t>
  </si>
  <si>
    <t xml:space="preserve">     (may be from 2 to 10 years)</t>
  </si>
  <si>
    <t>Increase in rents:</t>
  </si>
  <si>
    <t>(for each year)</t>
  </si>
  <si>
    <t xml:space="preserve">Type 1:  </t>
  </si>
  <si>
    <t xml:space="preserve">Type 2:  </t>
  </si>
  <si>
    <t xml:space="preserve">Type 3:  </t>
  </si>
  <si>
    <t xml:space="preserve">Potential Gross Rent Estimate for first year:  </t>
  </si>
  <si>
    <t>Other income:</t>
  </si>
  <si>
    <t xml:space="preserve">   (enter as a percentage of collectable rents)</t>
  </si>
  <si>
    <t>Operating Expenses</t>
  </si>
  <si>
    <t>Effective Gross Income</t>
  </si>
  <si>
    <t>Vacancy Allowance</t>
  </si>
  <si>
    <t>Other Income</t>
  </si>
  <si>
    <t>Management Fee</t>
  </si>
  <si>
    <t>Salary Expense</t>
  </si>
  <si>
    <t>Utilities</t>
  </si>
  <si>
    <t>Insurance</t>
  </si>
  <si>
    <t>Supplies</t>
  </si>
  <si>
    <t>Advertising</t>
  </si>
  <si>
    <t>Maintenance &amp; repairs</t>
  </si>
  <si>
    <t>Property Taxes</t>
  </si>
  <si>
    <r>
      <t xml:space="preserve">  Plus</t>
    </r>
    <r>
      <rPr>
        <sz val="10"/>
        <rFont val="Arial"/>
        <family val="0"/>
      </rPr>
      <t>: Other Income</t>
    </r>
  </si>
  <si>
    <t xml:space="preserve">    Salary Expense</t>
  </si>
  <si>
    <t xml:space="preserve">    Utilities</t>
  </si>
  <si>
    <t xml:space="preserve">    Insurance</t>
  </si>
  <si>
    <t xml:space="preserve">    Supplies</t>
  </si>
  <si>
    <t xml:space="preserve">    Advertising</t>
  </si>
  <si>
    <t xml:space="preserve">    Property Taxes</t>
  </si>
  <si>
    <t xml:space="preserve">    Management Fee (% of EGI)</t>
  </si>
  <si>
    <t xml:space="preserve">    Maintenance &amp; Repairs</t>
  </si>
  <si>
    <r>
      <t xml:space="preserve">  Less</t>
    </r>
    <r>
      <rPr>
        <sz val="10"/>
        <rFont val="Arial"/>
        <family val="0"/>
      </rPr>
      <t xml:space="preserve">: Allowance for Vacancies </t>
    </r>
  </si>
  <si>
    <t>(from Table 5.6)</t>
  </si>
  <si>
    <t>Annual Operating Expense Increase:</t>
  </si>
  <si>
    <t>Net Operating Income (NOI)</t>
  </si>
  <si>
    <t>As discussed in the text, operating expenses for Maegen's Manor are expected to increase at an annual rate of 3.5% except for management expenses</t>
  </si>
  <si>
    <t>Current Expense Estimates:</t>
  </si>
  <si>
    <t xml:space="preserve">Management Fee (% of EGI):   </t>
  </si>
  <si>
    <t xml:space="preserve">   * fill in this box only if property taxes below need to be adjusted for the first year of operations</t>
  </si>
  <si>
    <t>(which are 5% of EGI), and property taxes (which are expected to increase by 25% in year 4).</t>
  </si>
  <si>
    <t>Note: all numbers are annual and rounded to the nearest $100</t>
  </si>
  <si>
    <t>Increase in property taxes:</t>
  </si>
  <si>
    <t>(to the following and continuing years)</t>
  </si>
  <si>
    <t>Total Expenses</t>
  </si>
  <si>
    <t>Net Operating Income</t>
  </si>
  <si>
    <t>Table 6.3   Forecasted Operating Expense Ratios</t>
  </si>
  <si>
    <t>Table 6.2   Operating Forecast</t>
  </si>
  <si>
    <t>Operating Statement</t>
  </si>
  <si>
    <t>Table 6.1   First-year Operating Forecast</t>
  </si>
  <si>
    <t>(enter annual %)</t>
  </si>
  <si>
    <t>(enter in years)</t>
  </si>
  <si>
    <t>Interest paid</t>
  </si>
  <si>
    <t>Principal paid</t>
  </si>
  <si>
    <t>Total Debt Service</t>
  </si>
  <si>
    <t>Mortgage Balance</t>
  </si>
  <si>
    <t>Mortgage Borrowing</t>
  </si>
  <si>
    <t>=</t>
  </si>
  <si>
    <t>Input</t>
  </si>
  <si>
    <t>x</t>
  </si>
  <si>
    <t>/</t>
  </si>
  <si>
    <t>Input GRM</t>
  </si>
  <si>
    <t>Gross Rent Multiplier Method:</t>
  </si>
  <si>
    <t xml:space="preserve">For Maegen's Manor, a mortgage for $8 million is expected (based on roughly 70% LTV).  Terms are 20 years with monthly amortization and an annual </t>
  </si>
  <si>
    <t>interest rate of 8%.  Inputs below calculate the annual debt service, portions due to interest and principal, and the mortgage balance for each year of the</t>
  </si>
  <si>
    <t>anticipated holding period.</t>
  </si>
  <si>
    <t>Table 9.5   Projected Before-Tax Cash Flows from Operations</t>
  </si>
  <si>
    <t>Debt Service</t>
  </si>
  <si>
    <t>Before-Tax Cash Flow</t>
  </si>
  <si>
    <t/>
  </si>
  <si>
    <t>Before-Tax Cash Flow (BTCF)</t>
  </si>
  <si>
    <t>The next step in projecting an annual operating statement is to deduct the annual debt service (ADS) from NOI for all years of the anticipated holding period.</t>
  </si>
  <si>
    <t>Note that all of the cells below contain formulas and changes should ONLY be made on the Intro, Expenses, and Mortgage worksheets.</t>
  </si>
  <si>
    <t>Table 10.2   Projected After-Tax Cash Flows from Operations</t>
  </si>
  <si>
    <t>Depreciable Basis</t>
  </si>
  <si>
    <t>Recovery Period</t>
  </si>
  <si>
    <t>Input Cost</t>
  </si>
  <si>
    <t>Depreciation</t>
  </si>
  <si>
    <t>* applies to first and last year</t>
  </si>
  <si>
    <t xml:space="preserve">The next step in projecting an annual operating statement is to calculate taxes from operations for all years of the anticipated holding period.  Again, changes </t>
  </si>
  <si>
    <t>Tax Calculations</t>
  </si>
  <si>
    <t>Calcs for depreciation expense:</t>
  </si>
  <si>
    <t>Taxable Income (Loss)</t>
  </si>
  <si>
    <t>- Interest Expense</t>
  </si>
  <si>
    <t>- Depreciation</t>
  </si>
  <si>
    <t>x Marginal tax rate</t>
  </si>
  <si>
    <t>Income taxes</t>
  </si>
  <si>
    <t>After-Tax Cash Flow</t>
  </si>
  <si>
    <t>- Operating Expenses</t>
  </si>
  <si>
    <t>- Debt Service</t>
  </si>
  <si>
    <t>- Income Taxes</t>
  </si>
  <si>
    <t>Convention*</t>
  </si>
  <si>
    <t>IRS Mid-month</t>
  </si>
  <si>
    <t>Deduction</t>
  </si>
  <si>
    <t>At some point in the future, a real estate investor may want to sell the property.  Indeed, the analyst must estimate a future selling price to use valuation</t>
  </si>
  <si>
    <t>Transaction costs:</t>
  </si>
  <si>
    <t>Selling price:</t>
  </si>
  <si>
    <t>Selling costs:</t>
  </si>
  <si>
    <t>Purchase Price</t>
  </si>
  <si>
    <t>Initial Tax Basis</t>
  </si>
  <si>
    <t>Adjusted Basis Prior to Sale</t>
  </si>
  <si>
    <t>Adjusted Basis at Time of Sale</t>
  </si>
  <si>
    <t>Selling Price</t>
  </si>
  <si>
    <t>Gain on Disposal</t>
  </si>
  <si>
    <t>Long-Term Capital Gain</t>
  </si>
  <si>
    <t>Table 11.2   Estimated Income Tax Consequences</t>
  </si>
  <si>
    <t>Table 11.1   Estimate of Investor's Adjusted Tax Basis</t>
  </si>
  <si>
    <t>Tax rate on depreciation recapture:</t>
  </si>
  <si>
    <t>- Cumulative Depreciation</t>
  </si>
  <si>
    <t>+ Selling Costs</t>
  </si>
  <si>
    <t>+ Transaction Costs</t>
  </si>
  <si>
    <t>- Adjusted Basis (from Table 11.1)</t>
  </si>
  <si>
    <t>- Gain from depreciation recapture</t>
  </si>
  <si>
    <t>Tax on depreciation recapture</t>
  </si>
  <si>
    <t>Tax on capital gain</t>
  </si>
  <si>
    <t>Table 11.3   Estimate of After-Tax Equity Reversion</t>
  </si>
  <si>
    <t>- Selling Costs</t>
  </si>
  <si>
    <t>Net Sales Proceeds</t>
  </si>
  <si>
    <t>Table 9.6   Amortization Schedule</t>
  </si>
  <si>
    <t>Mortgage balance:</t>
  </si>
  <si>
    <t>- Mortgage Balance</t>
  </si>
  <si>
    <t>Before-tax Equity Reversion</t>
  </si>
  <si>
    <t>Total Tax Liability on Sale</t>
  </si>
  <si>
    <t>-  Taxes due on sale</t>
  </si>
  <si>
    <t>(from Table 9.6)</t>
  </si>
  <si>
    <t>methods such as NPV and IRR.  Inputs below (yellow boxes only) are for both the purchase and sales prices, their associated costs, and tax rates.</t>
  </si>
  <si>
    <t>Tax rate on capital gains:</t>
  </si>
  <si>
    <t>After-Tax Equity Reversion</t>
  </si>
  <si>
    <t xml:space="preserve">  (table is condensed - click Format / Row / Unhide to expand)</t>
  </si>
  <si>
    <t>workbook example for Maegen's Magic Manor</t>
  </si>
  <si>
    <t>Initial Investment Basis:</t>
  </si>
  <si>
    <t xml:space="preserve"> Mortgage:</t>
  </si>
  <si>
    <t>After-Tax Equity Reversion:</t>
  </si>
  <si>
    <t>-  Taxes due on sale:</t>
  </si>
  <si>
    <t>Before-tax Equity Reversion:</t>
  </si>
  <si>
    <t>- Mortgage Balance:</t>
  </si>
  <si>
    <t>Net Sales Proceeds:</t>
  </si>
  <si>
    <t>- Selling Costs:</t>
  </si>
  <si>
    <t>Selling Price:</t>
  </si>
  <si>
    <t>(Chapter 6)</t>
  </si>
  <si>
    <t>(Chapter 9)</t>
  </si>
  <si>
    <t>(Chapter 11)</t>
  </si>
  <si>
    <t>(Chapter 13)</t>
  </si>
  <si>
    <t>Discounted Cash Flow (DCF) Analysis</t>
  </si>
  <si>
    <t>(Chapter 10)</t>
  </si>
  <si>
    <t>discount rate) yields net present value (NPV).</t>
  </si>
  <si>
    <t>As discussed in the text, an internal rate of return (IRR) is the discount rate that will exactly equate the present value of a projected stream of cash flows</t>
  </si>
  <si>
    <t>with an initial equity investment.  Alternatively, subtracting a initial equity investment from the present value of projected cash flows (discounted at a given</t>
  </si>
  <si>
    <t>Property Disposition</t>
  </si>
  <si>
    <t>(input for purchase price is on the Sale worksheet)</t>
  </si>
  <si>
    <t>(Chapter 12)</t>
  </si>
  <si>
    <t>Mortgage calculator:</t>
  </si>
  <si>
    <t>Income Tax Issues</t>
  </si>
  <si>
    <t>Income Multipliers</t>
  </si>
  <si>
    <t>Gross Rent Multiplier:</t>
  </si>
  <si>
    <t>Market Price</t>
  </si>
  <si>
    <t>Gross Income Multiplier:</t>
  </si>
  <si>
    <t>Net Income Multilier:</t>
  </si>
  <si>
    <t>Ratio Analysis - Value</t>
  </si>
  <si>
    <t>Ratio Analysis - Financial &amp; Profitability</t>
  </si>
  <si>
    <t>Gross Rents</t>
  </si>
  <si>
    <t>Gross Income Multiplier Method:</t>
  </si>
  <si>
    <t>Input GIM</t>
  </si>
  <si>
    <t>Capitalization Rate:</t>
  </si>
  <si>
    <t>Ratios are widely used to gauge the reasonableness of relationships between various measures of value and performance.</t>
  </si>
  <si>
    <t xml:space="preserve">Income multipliers express the relationship between market value and operating income.    These multipliers can also be </t>
  </si>
  <si>
    <t>used to estimate market value.</t>
  </si>
  <si>
    <t>Input NIM</t>
  </si>
  <si>
    <t>Input cap rate</t>
  </si>
  <si>
    <t>Operating Ratio:</t>
  </si>
  <si>
    <t>Break-even Ratio:</t>
  </si>
  <si>
    <t>Net income Multilier Method:</t>
  </si>
  <si>
    <t>Financial Ratios</t>
  </si>
  <si>
    <t>(OE + ADS)</t>
  </si>
  <si>
    <t>Annual Debt Service (ADS):</t>
  </si>
  <si>
    <t>(rounded)</t>
  </si>
  <si>
    <t>Debt Coverage Ratio:</t>
  </si>
  <si>
    <t>ADS</t>
  </si>
  <si>
    <t>Using Multipliers to Estimate Market Value</t>
  </si>
  <si>
    <t>Profitability Measures</t>
  </si>
  <si>
    <t>Using Cap Rate to Estimate Market Value:</t>
  </si>
  <si>
    <t>Equity Dividend Rate:</t>
  </si>
  <si>
    <t>Initial Equity</t>
  </si>
  <si>
    <t xml:space="preserve">ratio, and loan-to-value ratio), and profitability (cap rate and equity dividend rate).  </t>
  </si>
  <si>
    <t xml:space="preserve">As shown in the text, ratio analysis also includes measures of financing ability (operating ratio, breakeven ratio, debt coverage </t>
  </si>
  <si>
    <t>Loan-to-value (LTV) Ratio:</t>
  </si>
  <si>
    <t>Mortgage</t>
  </si>
  <si>
    <t xml:space="preserve">(before-tax) </t>
  </si>
  <si>
    <t xml:space="preserve">(after-tax) </t>
  </si>
  <si>
    <t>Cummulative:</t>
  </si>
  <si>
    <t>years</t>
  </si>
  <si>
    <t xml:space="preserve">investment, including non-residential properties.  Note that the individual worksheets are integrated and that they build upon each other. Inputs need only </t>
  </si>
  <si>
    <t>be made in yellow boxes; the inserted formulas will make all necessary calculations. More in-depth explanations of the numbers used here can be found</t>
  </si>
  <si>
    <t>in chapters 6, 9, 10, 11, 12, 13, and 16.</t>
  </si>
  <si>
    <t>This workbook has been designed to illustrate the process of forecasting the income and value of an investment property.    Although its primary function</t>
  </si>
  <si>
    <t>is to accompany the example in the text (Maegen's Manor),  the worksheet is flexible enough to accommodate almost any income-producing real estate</t>
  </si>
  <si>
    <t>Risk-Adjustment Methods</t>
  </si>
  <si>
    <t>(Chapter 16)</t>
  </si>
  <si>
    <t>Net Proceeds:</t>
  </si>
  <si>
    <t>Before-tax Reversion:</t>
  </si>
  <si>
    <t>After-Tax Reversion:</t>
  </si>
  <si>
    <t>Assumptions:</t>
  </si>
  <si>
    <t xml:space="preserve">As discussed in the text, several different methods are </t>
  </si>
  <si>
    <t xml:space="preserve">available to assess the risk inherent in any real estate </t>
  </si>
  <si>
    <t>investment.  This worksheet contains formulas to help</t>
  </si>
  <si>
    <t>Payback Period</t>
  </si>
  <si>
    <t>Initial Calc:</t>
  </si>
  <si>
    <t xml:space="preserve">  Payback Period:</t>
  </si>
  <si>
    <t xml:space="preserve">  Total:  </t>
  </si>
  <si>
    <t>Sensitivity Analysis</t>
  </si>
  <si>
    <t>PV of Equity</t>
  </si>
  <si>
    <t>After-tax IRR:</t>
  </si>
  <si>
    <t>Before-tax IRR:</t>
  </si>
  <si>
    <t>Mid-month</t>
  </si>
  <si>
    <t xml:space="preserve">  After-tax Equity Reversion</t>
  </si>
  <si>
    <t>Total Cash Flow</t>
  </si>
  <si>
    <t>DO NOT CHANGE !!</t>
  </si>
  <si>
    <t>(contains links from other pages and above)</t>
  </si>
  <si>
    <t>% variation</t>
  </si>
  <si>
    <t>with  -</t>
  </si>
  <si>
    <t>with +</t>
  </si>
  <si>
    <t>expected</t>
  </si>
  <si>
    <t>Calcs for change in NOI:</t>
  </si>
  <si>
    <t>Calcs for change in Sales Price:</t>
  </si>
  <si>
    <t>-</t>
  </si>
  <si>
    <t>Change in Equity Value:</t>
  </si>
  <si>
    <t>% change in</t>
  </si>
  <si>
    <t>Equity Value</t>
  </si>
  <si>
    <t>Variation in NOI</t>
  </si>
  <si>
    <t>Variation in Sales Price</t>
  </si>
  <si>
    <t>Input % variation:</t>
  </si>
  <si>
    <t>Discount rate:</t>
  </si>
  <si>
    <t>illustrate the methods.</t>
  </si>
  <si>
    <t>Calculations for Sensitivity Analysis</t>
  </si>
  <si>
    <t>should ONLY be made on the Intro, Expenses, and Mortgage worksheets and in the yellow boxes below.</t>
  </si>
  <si>
    <t>No inputs on this worksheet.</t>
  </si>
  <si>
    <t>of the cells below contain formulas and changes should ONLY be made on the previous two worksheets.</t>
  </si>
  <si>
    <t>The annual operating statement for all years of the anticipated holding period are shown below as well as the operating expense ratio for each year.  Not that all</t>
  </si>
  <si>
    <t>Input in yellow cells only.</t>
  </si>
  <si>
    <t>Note: discount rate applies to the calculations below as well.</t>
  </si>
  <si>
    <t>Source: Dr. Greg Smersh, Florida State University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</si>
</sst>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;[Red]#,##0"/>
    <numFmt numFmtId="166" formatCode="0.0000"/>
    <numFmt numFmtId="167" formatCode="0.0000%"/>
    <numFmt numFmtId="168" formatCode="0_);[Red]\(0\)"/>
    <numFmt numFmtId="169" formatCode="#,##0.00000000_);[Red]\(#,##0.00000000\)"/>
    <numFmt numFmtId="170" formatCode="#,##0.0000000_);[Red]\(#,##0.0000000\)"/>
    <numFmt numFmtId="171" formatCode="#,##0.0000000000_);[Red]\(#,##0.0000000000\)"/>
    <numFmt numFmtId="172" formatCode="[$$-409]#,##0_);\([$$-409]#,##0\)"/>
    <numFmt numFmtId="173" formatCode="&quot;$&quot;#,##0"/>
    <numFmt numFmtId="174" formatCode="_(* #,##0.0_);_(* \(#,##0.0\);_(* &quot;-&quot;?_);_(@_)"/>
    <numFmt numFmtId="175" formatCode="0.0%"/>
    <numFmt numFmtId="176" formatCode="0."/>
    <numFmt numFmtId="177" formatCode="0.00_);\(0.00\)"/>
    <numFmt numFmtId="178" formatCode="00000"/>
    <numFmt numFmtId="179" formatCode="#,##0.000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0"/>
    </font>
    <font>
      <u val="single"/>
      <sz val="11"/>
      <name val="Tahoma"/>
      <family val="2"/>
    </font>
    <font>
      <b/>
      <sz val="9"/>
      <color indexed="48"/>
      <name val="Arial"/>
      <family val="2"/>
    </font>
    <font>
      <i/>
      <sz val="9"/>
      <color indexed="48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3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8" fillId="2" borderId="0" xfId="0" applyFont="1" applyFill="1" applyAlignment="1">
      <alignment horizontal="right"/>
    </xf>
    <xf numFmtId="0" fontId="0" fillId="0" borderId="0" xfId="0" applyAlignment="1" quotePrefix="1">
      <alignment/>
    </xf>
    <xf numFmtId="0" fontId="2" fillId="0" borderId="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 quotePrefix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1" fontId="0" fillId="0" borderId="0" xfId="0" applyNumberFormat="1" applyBorder="1" applyAlignment="1">
      <alignment horizontal="right"/>
    </xf>
    <xf numFmtId="172" fontId="0" fillId="0" borderId="0" xfId="17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1" fontId="2" fillId="2" borderId="1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 quotePrefix="1">
      <alignment/>
    </xf>
    <xf numFmtId="0" fontId="2" fillId="0" borderId="0" xfId="0" applyFont="1" applyFill="1" applyBorder="1" applyAlignment="1">
      <alignment horizontal="right"/>
    </xf>
    <xf numFmtId="175" fontId="0" fillId="0" borderId="3" xfId="0" applyNumberFormat="1" applyFill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right"/>
    </xf>
    <xf numFmtId="175" fontId="15" fillId="4" borderId="4" xfId="0" applyNumberFormat="1" applyFont="1" applyFill="1" applyBorder="1" applyAlignment="1">
      <alignment/>
    </xf>
    <xf numFmtId="175" fontId="15" fillId="4" borderId="5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76" fontId="15" fillId="0" borderId="0" xfId="0" applyNumberFormat="1" applyFont="1" applyAlignment="1">
      <alignment/>
    </xf>
    <xf numFmtId="0" fontId="15" fillId="0" borderId="0" xfId="0" applyFont="1" applyAlignment="1">
      <alignment horizontal="left" indent="1"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15" fillId="2" borderId="0" xfId="0" applyNumberFormat="1" applyFont="1" applyFill="1" applyAlignment="1">
      <alignment/>
    </xf>
    <xf numFmtId="3" fontId="15" fillId="2" borderId="0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3" fontId="15" fillId="0" borderId="0" xfId="17" applyNumberFormat="1" applyFont="1" applyAlignment="1">
      <alignment/>
    </xf>
    <xf numFmtId="3" fontId="15" fillId="0" borderId="1" xfId="17" applyNumberFormat="1" applyFont="1" applyBorder="1" applyAlignment="1">
      <alignment/>
    </xf>
    <xf numFmtId="0" fontId="13" fillId="0" borderId="0" xfId="0" applyFont="1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indent="1"/>
    </xf>
    <xf numFmtId="0" fontId="2" fillId="2" borderId="0" xfId="0" applyFont="1" applyFill="1" applyAlignment="1">
      <alignment horizontal="right" indent="1"/>
    </xf>
    <xf numFmtId="0" fontId="15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17" fillId="0" borderId="1" xfId="0" applyFont="1" applyBorder="1" applyAlignment="1">
      <alignment horizontal="right"/>
    </xf>
    <xf numFmtId="0" fontId="14" fillId="0" borderId="0" xfId="0" applyFont="1" applyAlignment="1">
      <alignment horizontal="right" indent="1"/>
    </xf>
    <xf numFmtId="3" fontId="15" fillId="0" borderId="0" xfId="17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5" fontId="15" fillId="0" borderId="0" xfId="1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2" fontId="0" fillId="0" borderId="0" xfId="0" applyNumberFormat="1" applyFill="1" applyBorder="1" applyAlignment="1">
      <alignment/>
    </xf>
    <xf numFmtId="176" fontId="15" fillId="0" borderId="0" xfId="0" applyNumberFormat="1" applyFont="1" applyAlignment="1">
      <alignment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left" indent="1"/>
    </xf>
    <xf numFmtId="0" fontId="8" fillId="2" borderId="0" xfId="0" applyFont="1" applyFill="1" applyAlignment="1" quotePrefix="1">
      <alignment horizontal="left"/>
    </xf>
    <xf numFmtId="3" fontId="15" fillId="3" borderId="2" xfId="17" applyNumberFormat="1" applyFont="1" applyFill="1" applyBorder="1" applyAlignment="1">
      <alignment/>
    </xf>
    <xf numFmtId="0" fontId="0" fillId="3" borderId="7" xfId="0" applyFill="1" applyBorder="1" applyAlignment="1">
      <alignment/>
    </xf>
    <xf numFmtId="3" fontId="15" fillId="3" borderId="5" xfId="17" applyNumberFormat="1" applyFont="1" applyFill="1" applyBorder="1" applyAlignment="1">
      <alignment/>
    </xf>
    <xf numFmtId="3" fontId="15" fillId="3" borderId="2" xfId="0" applyNumberFormat="1" applyFont="1" applyFill="1" applyBorder="1" applyAlignment="1">
      <alignment/>
    </xf>
    <xf numFmtId="3" fontId="14" fillId="3" borderId="5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3" fontId="15" fillId="0" borderId="0" xfId="0" applyNumberFormat="1" applyFont="1" applyBorder="1" applyAlignment="1" quotePrefix="1">
      <alignment/>
    </xf>
    <xf numFmtId="3" fontId="15" fillId="2" borderId="1" xfId="0" applyNumberFormat="1" applyFont="1" applyFill="1" applyBorder="1" applyAlignment="1">
      <alignment/>
    </xf>
    <xf numFmtId="3" fontId="15" fillId="2" borderId="0" xfId="0" applyNumberFormat="1" applyFont="1" applyFill="1" applyBorder="1" applyAlignment="1" quotePrefix="1">
      <alignment horizontal="center"/>
    </xf>
    <xf numFmtId="3" fontId="15" fillId="4" borderId="4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10" fontId="15" fillId="4" borderId="4" xfId="0" applyNumberFormat="1" applyFont="1" applyFill="1" applyBorder="1" applyAlignment="1">
      <alignment/>
    </xf>
    <xf numFmtId="3" fontId="15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15" fillId="0" borderId="0" xfId="17" applyNumberFormat="1" applyFont="1" applyBorder="1" applyAlignment="1" quotePrefix="1">
      <alignment/>
    </xf>
    <xf numFmtId="3" fontId="15" fillId="3" borderId="7" xfId="17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0" fillId="0" borderId="0" xfId="0" applyAlignment="1" quotePrefix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indent="1"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15" fillId="0" borderId="8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 indent="1"/>
    </xf>
    <xf numFmtId="3" fontId="16" fillId="0" borderId="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1" xfId="17" applyNumberFormat="1" applyFont="1" applyBorder="1" applyAlignment="1">
      <alignment/>
    </xf>
    <xf numFmtId="0" fontId="3" fillId="0" borderId="0" xfId="0" applyFont="1" applyAlignment="1">
      <alignment/>
    </xf>
    <xf numFmtId="2" fontId="15" fillId="0" borderId="1" xfId="0" applyNumberFormat="1" applyFont="1" applyBorder="1" applyAlignment="1">
      <alignment/>
    </xf>
    <xf numFmtId="0" fontId="15" fillId="0" borderId="0" xfId="0" applyFont="1" applyAlignment="1" quotePrefix="1">
      <alignment horizontal="left" indent="1"/>
    </xf>
    <xf numFmtId="0" fontId="15" fillId="0" borderId="0" xfId="0" applyFont="1" applyBorder="1" applyAlignment="1" quotePrefix="1">
      <alignment horizontal="left" indent="1"/>
    </xf>
    <xf numFmtId="0" fontId="15" fillId="0" borderId="0" xfId="0" applyFont="1" applyAlignment="1" quotePrefix="1">
      <alignment/>
    </xf>
    <xf numFmtId="3" fontId="1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16" fillId="0" borderId="1" xfId="0" applyNumberFormat="1" applyFont="1" applyBorder="1" applyAlignment="1">
      <alignment/>
    </xf>
    <xf numFmtId="3" fontId="16" fillId="0" borderId="0" xfId="17" applyNumberFormat="1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right" indent="1"/>
    </xf>
    <xf numFmtId="0" fontId="8" fillId="0" borderId="1" xfId="0" applyFont="1" applyBorder="1" applyAlignment="1">
      <alignment/>
    </xf>
    <xf numFmtId="0" fontId="15" fillId="0" borderId="1" xfId="0" applyFont="1" applyBorder="1" applyAlignment="1">
      <alignment/>
    </xf>
    <xf numFmtId="42" fontId="15" fillId="0" borderId="0" xfId="17" applyNumberFormat="1" applyFont="1" applyAlignment="1">
      <alignment/>
    </xf>
    <xf numFmtId="42" fontId="15" fillId="0" borderId="1" xfId="17" applyNumberFormat="1" applyFont="1" applyBorder="1" applyAlignment="1">
      <alignment/>
    </xf>
    <xf numFmtId="42" fontId="15" fillId="0" borderId="9" xfId="17" applyNumberFormat="1" applyFont="1" applyBorder="1" applyAlignment="1">
      <alignment/>
    </xf>
    <xf numFmtId="42" fontId="15" fillId="0" borderId="0" xfId="17" applyNumberFormat="1" applyFont="1" applyBorder="1" applyAlignment="1">
      <alignment/>
    </xf>
    <xf numFmtId="0" fontId="18" fillId="0" borderId="1" xfId="0" applyFont="1" applyBorder="1" applyAlignment="1">
      <alignment/>
    </xf>
    <xf numFmtId="42" fontId="15" fillId="0" borderId="1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9" fontId="15" fillId="4" borderId="4" xfId="0" applyNumberFormat="1" applyFont="1" applyFill="1" applyBorder="1" applyAlignment="1">
      <alignment/>
    </xf>
    <xf numFmtId="42" fontId="8" fillId="0" borderId="0" xfId="0" applyNumberFormat="1" applyFont="1" applyAlignment="1">
      <alignment/>
    </xf>
    <xf numFmtId="42" fontId="8" fillId="0" borderId="8" xfId="17" applyNumberFormat="1" applyFont="1" applyBorder="1" applyAlignment="1">
      <alignment/>
    </xf>
    <xf numFmtId="41" fontId="15" fillId="3" borderId="4" xfId="0" applyNumberFormat="1" applyFont="1" applyFill="1" applyBorder="1" applyAlignment="1">
      <alignment/>
    </xf>
    <xf numFmtId="42" fontId="15" fillId="3" borderId="4" xfId="17" applyNumberFormat="1" applyFont="1" applyFill="1" applyBorder="1" applyAlignment="1">
      <alignment/>
    </xf>
    <xf numFmtId="0" fontId="15" fillId="0" borderId="0" xfId="0" applyFont="1" applyAlignment="1" quotePrefix="1">
      <alignment horizontal="right"/>
    </xf>
    <xf numFmtId="3" fontId="1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3" fontId="15" fillId="2" borderId="1" xfId="0" applyNumberFormat="1" applyFont="1" applyFill="1" applyBorder="1" applyAlignment="1">
      <alignment/>
    </xf>
    <xf numFmtId="38" fontId="15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10" fontId="20" fillId="3" borderId="5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38" fontId="0" fillId="2" borderId="0" xfId="0" applyNumberFormat="1" applyFill="1" applyBorder="1" applyAlignment="1">
      <alignment/>
    </xf>
    <xf numFmtId="10" fontId="2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" xfId="0" applyFont="1" applyFill="1" applyBorder="1" applyAlignment="1">
      <alignment horizontal="right"/>
    </xf>
    <xf numFmtId="3" fontId="15" fillId="0" borderId="0" xfId="17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right"/>
    </xf>
    <xf numFmtId="2" fontId="0" fillId="2" borderId="0" xfId="0" applyNumberForma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15" fillId="2" borderId="0" xfId="0" applyFont="1" applyFill="1" applyBorder="1" applyAlignment="1" quotePrefix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2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8" xfId="0" applyFont="1" applyFill="1" applyBorder="1" applyAlignment="1">
      <alignment horizontal="right"/>
    </xf>
    <xf numFmtId="0" fontId="0" fillId="3" borderId="11" xfId="0" applyFill="1" applyBorder="1" applyAlignment="1">
      <alignment/>
    </xf>
    <xf numFmtId="0" fontId="15" fillId="3" borderId="0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2" fillId="3" borderId="10" xfId="0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15" fillId="3" borderId="0" xfId="0" applyFont="1" applyFill="1" applyBorder="1" applyAlignment="1" quotePrefix="1">
      <alignment horizontal="right"/>
    </xf>
    <xf numFmtId="38" fontId="0" fillId="3" borderId="1" xfId="0" applyNumberFormat="1" applyFill="1" applyBorder="1" applyAlignment="1">
      <alignment/>
    </xf>
    <xf numFmtId="0" fontId="15" fillId="3" borderId="1" xfId="0" applyFont="1" applyFill="1" applyBorder="1" applyAlignment="1">
      <alignment horizontal="right"/>
    </xf>
    <xf numFmtId="2" fontId="0" fillId="3" borderId="1" xfId="0" applyNumberFormat="1" applyFill="1" applyBorder="1" applyAlignment="1">
      <alignment/>
    </xf>
    <xf numFmtId="0" fontId="0" fillId="3" borderId="7" xfId="0" applyFill="1" applyBorder="1" applyAlignment="1">
      <alignment horizontal="right"/>
    </xf>
    <xf numFmtId="0" fontId="15" fillId="3" borderId="7" xfId="0" applyFont="1" applyFill="1" applyBorder="1" applyAlignment="1">
      <alignment/>
    </xf>
    <xf numFmtId="0" fontId="0" fillId="3" borderId="5" xfId="0" applyFill="1" applyBorder="1" applyAlignment="1">
      <alignment/>
    </xf>
    <xf numFmtId="0" fontId="14" fillId="3" borderId="7" xfId="0" applyFont="1" applyFill="1" applyBorder="1" applyAlignment="1">
      <alignment horizontal="right"/>
    </xf>
    <xf numFmtId="0" fontId="15" fillId="3" borderId="7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indent="1"/>
    </xf>
    <xf numFmtId="0" fontId="12" fillId="0" borderId="0" xfId="0" applyFont="1" applyAlignment="1">
      <alignment horizontal="right" indent="2"/>
    </xf>
    <xf numFmtId="0" fontId="0" fillId="0" borderId="0" xfId="0" applyFont="1" applyAlignment="1">
      <alignment horizontal="left" indent="1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indent="1"/>
    </xf>
    <xf numFmtId="42" fontId="15" fillId="0" borderId="0" xfId="0" applyNumberFormat="1" applyFont="1" applyFill="1" applyBorder="1" applyAlignment="1">
      <alignment/>
    </xf>
    <xf numFmtId="0" fontId="13" fillId="2" borderId="0" xfId="0" applyFont="1" applyFill="1" applyBorder="1" applyAlignment="1" quotePrefix="1">
      <alignment/>
    </xf>
    <xf numFmtId="3" fontId="16" fillId="0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3" fontId="15" fillId="2" borderId="0" xfId="0" applyNumberFormat="1" applyFont="1" applyFill="1" applyBorder="1" applyAlignment="1">
      <alignment horizontal="right"/>
    </xf>
    <xf numFmtId="173" fontId="15" fillId="0" borderId="0" xfId="0" applyNumberFormat="1" applyFont="1" applyBorder="1" applyAlignment="1">
      <alignment/>
    </xf>
    <xf numFmtId="3" fontId="16" fillId="2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horizontal="right"/>
    </xf>
    <xf numFmtId="173" fontId="15" fillId="0" borderId="1" xfId="17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5" fillId="3" borderId="4" xfId="0" applyNumberFormat="1" applyFont="1" applyFill="1" applyBorder="1" applyAlignment="1">
      <alignment/>
    </xf>
    <xf numFmtId="177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7" fontId="15" fillId="3" borderId="4" xfId="0" applyNumberFormat="1" applyFont="1" applyFill="1" applyBorder="1" applyAlignment="1">
      <alignment/>
    </xf>
    <xf numFmtId="42" fontId="15" fillId="3" borderId="4" xfId="0" applyNumberFormat="1" applyFont="1" applyFill="1" applyBorder="1" applyAlignment="1">
      <alignment/>
    </xf>
    <xf numFmtId="177" fontId="15" fillId="0" borderId="0" xfId="0" applyNumberFormat="1" applyFont="1" applyAlignment="1">
      <alignment horizontal="right"/>
    </xf>
    <xf numFmtId="10" fontId="15" fillId="3" borderId="4" xfId="0" applyNumberFormat="1" applyFont="1" applyFill="1" applyBorder="1" applyAlignment="1">
      <alignment/>
    </xf>
    <xf numFmtId="0" fontId="21" fillId="0" borderId="0" xfId="0" applyFont="1" applyAlignment="1">
      <alignment horizontal="left" indent="1"/>
    </xf>
    <xf numFmtId="2" fontId="15" fillId="4" borderId="4" xfId="0" applyNumberFormat="1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/>
    </xf>
    <xf numFmtId="3" fontId="15" fillId="0" borderId="0" xfId="17" applyNumberFormat="1" applyFont="1" applyFill="1" applyBorder="1" applyAlignment="1">
      <alignment horizontal="right" indent="1"/>
    </xf>
    <xf numFmtId="3" fontId="17" fillId="0" borderId="0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41" fontId="15" fillId="3" borderId="4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9" fontId="15" fillId="3" borderId="4" xfId="0" applyNumberFormat="1" applyFont="1" applyFill="1" applyBorder="1" applyAlignment="1">
      <alignment/>
    </xf>
    <xf numFmtId="9" fontId="16" fillId="2" borderId="0" xfId="0" applyNumberFormat="1" applyFont="1" applyFill="1" applyBorder="1" applyAlignment="1">
      <alignment/>
    </xf>
    <xf numFmtId="9" fontId="15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15" fillId="2" borderId="0" xfId="0" applyNumberFormat="1" applyFont="1" applyFill="1" applyBorder="1" applyAlignment="1" quotePrefix="1">
      <alignment horizontal="right"/>
    </xf>
    <xf numFmtId="0" fontId="2" fillId="0" borderId="0" xfId="0" applyFont="1" applyBorder="1" applyAlignment="1">
      <alignment/>
    </xf>
    <xf numFmtId="0" fontId="15" fillId="3" borderId="5" xfId="0" applyFont="1" applyFill="1" applyBorder="1" applyAlignment="1">
      <alignment/>
    </xf>
    <xf numFmtId="0" fontId="17" fillId="0" borderId="0" xfId="0" applyFont="1" applyAlignment="1" quotePrefix="1">
      <alignment/>
    </xf>
    <xf numFmtId="4" fontId="8" fillId="3" borderId="2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5" fillId="3" borderId="8" xfId="0" applyFont="1" applyFill="1" applyBorder="1" applyAlignment="1">
      <alignment horizontal="right" indent="1"/>
    </xf>
    <xf numFmtId="0" fontId="15" fillId="3" borderId="0" xfId="0" applyFont="1" applyFill="1" applyBorder="1" applyAlignment="1" quotePrefix="1">
      <alignment horizontal="right" indent="1"/>
    </xf>
    <xf numFmtId="0" fontId="15" fillId="3" borderId="0" xfId="0" applyFont="1" applyFill="1" applyBorder="1" applyAlignment="1">
      <alignment horizontal="right" indent="1"/>
    </xf>
    <xf numFmtId="0" fontId="15" fillId="3" borderId="1" xfId="0" applyFont="1" applyFill="1" applyBorder="1" applyAlignment="1">
      <alignment horizontal="right" indent="1"/>
    </xf>
    <xf numFmtId="0" fontId="15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38" fontId="0" fillId="0" borderId="0" xfId="0" applyNumberFormat="1" applyFill="1" applyBorder="1" applyAlignment="1">
      <alignment/>
    </xf>
    <xf numFmtId="38" fontId="0" fillId="3" borderId="12" xfId="0" applyNumberFormat="1" applyFill="1" applyBorder="1" applyAlignment="1">
      <alignment/>
    </xf>
    <xf numFmtId="0" fontId="22" fillId="0" borderId="0" xfId="0" applyFont="1" applyAlignment="1">
      <alignment horizontal="left"/>
    </xf>
    <xf numFmtId="3" fontId="14" fillId="2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165" fontId="14" fillId="2" borderId="0" xfId="0" applyNumberFormat="1" applyFont="1" applyFill="1" applyAlignment="1">
      <alignment/>
    </xf>
    <xf numFmtId="165" fontId="23" fillId="2" borderId="1" xfId="0" applyNumberFormat="1" applyFont="1" applyFill="1" applyBorder="1" applyAlignment="1">
      <alignment/>
    </xf>
    <xf numFmtId="165" fontId="1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41" fontId="24" fillId="0" borderId="0" xfId="0" applyNumberFormat="1" applyFont="1" applyAlignment="1">
      <alignment/>
    </xf>
    <xf numFmtId="0" fontId="15" fillId="2" borderId="0" xfId="0" applyFont="1" applyFill="1" applyAlignment="1">
      <alignment horizontal="right" indent="2"/>
    </xf>
    <xf numFmtId="3" fontId="14" fillId="0" borderId="0" xfId="0" applyNumberFormat="1" applyFont="1" applyFill="1" applyAlignment="1">
      <alignment/>
    </xf>
    <xf numFmtId="38" fontId="15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10" fontId="15" fillId="4" borderId="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15" fillId="3" borderId="0" xfId="0" applyFont="1" applyFill="1" applyBorder="1" applyAlignment="1">
      <alignment/>
    </xf>
    <xf numFmtId="0" fontId="0" fillId="3" borderId="8" xfId="0" applyFill="1" applyBorder="1" applyAlignment="1">
      <alignment horizontal="right"/>
    </xf>
    <xf numFmtId="0" fontId="15" fillId="3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5" fillId="0" borderId="0" xfId="0" applyFont="1" applyAlignment="1" quotePrefix="1">
      <alignment horizontal="right" indent="1"/>
    </xf>
    <xf numFmtId="0" fontId="15" fillId="0" borderId="0" xfId="0" applyFont="1" applyAlignment="1" quotePrefix="1">
      <alignment horizontal="right" indent="1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 indent="1"/>
    </xf>
    <xf numFmtId="0" fontId="15" fillId="0" borderId="0" xfId="0" applyFont="1" applyBorder="1" applyAlignment="1">
      <alignment horizontal="right" indent="1"/>
    </xf>
    <xf numFmtId="165" fontId="23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 horizontal="right" indent="1"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3" fontId="15" fillId="3" borderId="1" xfId="0" applyNumberFormat="1" applyFont="1" applyFill="1" applyBorder="1" applyAlignment="1" quotePrefix="1">
      <alignment horizontal="center"/>
    </xf>
    <xf numFmtId="0" fontId="0" fillId="3" borderId="1" xfId="0" applyFill="1" applyBorder="1" applyAlignment="1" quotePrefix="1">
      <alignment horizontal="center"/>
    </xf>
    <xf numFmtId="0" fontId="0" fillId="3" borderId="14" xfId="0" applyFill="1" applyBorder="1" applyAlignment="1">
      <alignment/>
    </xf>
    <xf numFmtId="0" fontId="2" fillId="0" borderId="0" xfId="0" applyFont="1" applyAlignment="1">
      <alignment horizontal="left" indent="2"/>
    </xf>
    <xf numFmtId="42" fontId="0" fillId="0" borderId="0" xfId="0" applyNumberFormat="1" applyBorder="1" applyAlignment="1">
      <alignment/>
    </xf>
    <xf numFmtId="42" fontId="1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3" borderId="2" xfId="0" applyNumberFormat="1" applyFont="1" applyFill="1" applyBorder="1" applyAlignment="1">
      <alignment/>
    </xf>
    <xf numFmtId="3" fontId="0" fillId="3" borderId="7" xfId="0" applyNumberFormat="1" applyFill="1" applyBorder="1" applyAlignment="1" quotePrefix="1">
      <alignment horizontal="right"/>
    </xf>
    <xf numFmtId="3" fontId="14" fillId="3" borderId="7" xfId="0" applyNumberFormat="1" applyFont="1" applyFill="1" applyBorder="1" applyAlignment="1">
      <alignment/>
    </xf>
    <xf numFmtId="3" fontId="0" fillId="3" borderId="7" xfId="0" applyNumberFormat="1" applyFill="1" applyBorder="1" applyAlignment="1" quotePrefix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2" fontId="14" fillId="0" borderId="0" xfId="0" applyNumberFormat="1" applyFont="1" applyFill="1" applyBorder="1" applyAlignment="1" quotePrefix="1">
      <alignment/>
    </xf>
    <xf numFmtId="0" fontId="14" fillId="0" borderId="0" xfId="0" applyFont="1" applyAlignment="1">
      <alignment horizontal="right"/>
    </xf>
    <xf numFmtId="1" fontId="15" fillId="0" borderId="0" xfId="0" applyNumberFormat="1" applyFont="1" applyAlignment="1">
      <alignment/>
    </xf>
    <xf numFmtId="0" fontId="14" fillId="0" borderId="1" xfId="0" applyFont="1" applyBorder="1" applyAlignment="1">
      <alignment horizontal="right"/>
    </xf>
    <xf numFmtId="3" fontId="15" fillId="0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14" fillId="3" borderId="2" xfId="0" applyNumberFormat="1" applyFont="1" applyFill="1" applyBorder="1" applyAlignment="1">
      <alignment/>
    </xf>
    <xf numFmtId="10" fontId="15" fillId="3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15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8" fontId="8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indent="1"/>
    </xf>
    <xf numFmtId="0" fontId="12" fillId="0" borderId="0" xfId="0" applyFont="1" applyAlignment="1">
      <alignment horizontal="left" indent="1"/>
    </xf>
    <xf numFmtId="0" fontId="8" fillId="2" borderId="0" xfId="0" applyFont="1" applyFill="1" applyAlignment="1">
      <alignment/>
    </xf>
    <xf numFmtId="173" fontId="15" fillId="4" borderId="4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9" fontId="15" fillId="4" borderId="4" xfId="0" applyNumberFormat="1" applyFont="1" applyFill="1" applyBorder="1" applyAlignment="1">
      <alignment/>
    </xf>
    <xf numFmtId="3" fontId="15" fillId="2" borderId="0" xfId="0" applyNumberFormat="1" applyFont="1" applyFill="1" applyBorder="1" applyAlignment="1">
      <alignment horizontal="left" indent="2"/>
    </xf>
    <xf numFmtId="42" fontId="15" fillId="3" borderId="5" xfId="0" applyNumberFormat="1" applyFont="1" applyFill="1" applyBorder="1" applyAlignment="1">
      <alignment/>
    </xf>
    <xf numFmtId="42" fontId="15" fillId="3" borderId="2" xfId="0" applyNumberFormat="1" applyFont="1" applyFill="1" applyBorder="1" applyAlignment="1">
      <alignment/>
    </xf>
    <xf numFmtId="173" fontId="15" fillId="3" borderId="2" xfId="0" applyNumberFormat="1" applyFont="1" applyFill="1" applyBorder="1" applyAlignment="1">
      <alignment/>
    </xf>
    <xf numFmtId="0" fontId="15" fillId="3" borderId="5" xfId="0" applyFont="1" applyFill="1" applyBorder="1" applyAlignment="1">
      <alignment/>
    </xf>
    <xf numFmtId="173" fontId="15" fillId="3" borderId="2" xfId="0" applyNumberFormat="1" applyFont="1" applyFill="1" applyBorder="1" applyAlignment="1">
      <alignment/>
    </xf>
    <xf numFmtId="173" fontId="15" fillId="3" borderId="5" xfId="0" applyNumberFormat="1" applyFont="1" applyFill="1" applyBorder="1" applyAlignment="1">
      <alignment/>
    </xf>
    <xf numFmtId="3" fontId="0" fillId="0" borderId="11" xfId="17" applyNumberFormat="1" applyBorder="1" applyAlignment="1">
      <alignment/>
    </xf>
    <xf numFmtId="0" fontId="0" fillId="0" borderId="0" xfId="0" applyAlignment="1">
      <alignment/>
    </xf>
    <xf numFmtId="42" fontId="2" fillId="0" borderId="0" xfId="0" applyNumberFormat="1" applyFont="1" applyBorder="1" applyAlignment="1">
      <alignment/>
    </xf>
    <xf numFmtId="42" fontId="0" fillId="4" borderId="7" xfId="0" applyNumberFormat="1" applyFill="1" applyBorder="1" applyAlignment="1">
      <alignment/>
    </xf>
    <xf numFmtId="0" fontId="0" fillId="0" borderId="5" xfId="0" applyBorder="1" applyAlignment="1">
      <alignment/>
    </xf>
    <xf numFmtId="42" fontId="0" fillId="4" borderId="7" xfId="17" applyNumberFormat="1" applyFill="1" applyBorder="1" applyAlignment="1">
      <alignment/>
    </xf>
    <xf numFmtId="42" fontId="0" fillId="0" borderId="5" xfId="0" applyNumberFormat="1" applyBorder="1" applyAlignment="1">
      <alignment/>
    </xf>
    <xf numFmtId="42" fontId="0" fillId="0" borderId="0" xfId="0" applyNumberFormat="1" applyFill="1" applyBorder="1" applyAlignment="1">
      <alignment/>
    </xf>
    <xf numFmtId="0" fontId="0" fillId="0" borderId="3" xfId="0" applyFill="1" applyBorder="1" applyAlignment="1">
      <alignment/>
    </xf>
    <xf numFmtId="42" fontId="0" fillId="0" borderId="0" xfId="17" applyNumberFormat="1" applyFill="1" applyBorder="1" applyAlignment="1">
      <alignment/>
    </xf>
    <xf numFmtId="42" fontId="0" fillId="0" borderId="3" xfId="0" applyNumberFormat="1" applyFill="1" applyBorder="1" applyAlignment="1">
      <alignment/>
    </xf>
    <xf numFmtId="42" fontId="0" fillId="0" borderId="0" xfId="17" applyNumberFormat="1" applyAlignment="1">
      <alignment/>
    </xf>
    <xf numFmtId="41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42" fontId="2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2" fontId="15" fillId="4" borderId="2" xfId="0" applyNumberFormat="1" applyFont="1" applyFill="1" applyBorder="1" applyAlignment="1">
      <alignment/>
    </xf>
    <xf numFmtId="42" fontId="15" fillId="4" borderId="5" xfId="0" applyNumberFormat="1" applyFont="1" applyFill="1" applyBorder="1" applyAlignment="1">
      <alignment/>
    </xf>
    <xf numFmtId="41" fontId="15" fillId="4" borderId="2" xfId="0" applyNumberFormat="1" applyFont="1" applyFill="1" applyBorder="1" applyAlignment="1">
      <alignment/>
    </xf>
    <xf numFmtId="41" fontId="15" fillId="4" borderId="5" xfId="0" applyNumberFormat="1" applyFont="1" applyFill="1" applyBorder="1" applyAlignment="1">
      <alignment/>
    </xf>
    <xf numFmtId="44" fontId="15" fillId="3" borderId="7" xfId="0" applyNumberFormat="1" applyFont="1" applyFill="1" applyBorder="1" applyAlignment="1">
      <alignment/>
    </xf>
    <xf numFmtId="0" fontId="15" fillId="0" borderId="5" xfId="0" applyFont="1" applyBorder="1" applyAlignment="1">
      <alignment/>
    </xf>
    <xf numFmtId="10" fontId="15" fillId="4" borderId="2" xfId="0" applyNumberFormat="1" applyFont="1" applyFill="1" applyBorder="1" applyAlignment="1">
      <alignment/>
    </xf>
    <xf numFmtId="3" fontId="15" fillId="4" borderId="2" xfId="0" applyNumberFormat="1" applyFont="1" applyFill="1" applyBorder="1" applyAlignment="1">
      <alignment horizontal="right"/>
    </xf>
    <xf numFmtId="3" fontId="15" fillId="4" borderId="5" xfId="0" applyNumberFormat="1" applyFont="1" applyFill="1" applyBorder="1" applyAlignment="1">
      <alignment horizontal="right"/>
    </xf>
    <xf numFmtId="0" fontId="15" fillId="4" borderId="2" xfId="0" applyFont="1" applyFill="1" applyBorder="1" applyAlignment="1">
      <alignment horizontal="right"/>
    </xf>
    <xf numFmtId="0" fontId="15" fillId="4" borderId="5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15" fillId="3" borderId="7" xfId="0" applyNumberFormat="1" applyFont="1" applyFill="1" applyBorder="1" applyAlignment="1">
      <alignment/>
    </xf>
    <xf numFmtId="3" fontId="15" fillId="3" borderId="8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3" borderId="13" xfId="0" applyFill="1" applyBorder="1" applyAlignment="1">
      <alignment/>
    </xf>
    <xf numFmtId="3" fontId="15" fillId="3" borderId="0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42" fontId="0" fillId="3" borderId="2" xfId="0" applyNumberFormat="1" applyFill="1" applyBorder="1" applyAlignment="1">
      <alignment/>
    </xf>
    <xf numFmtId="42" fontId="0" fillId="3" borderId="5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9" fontId="0" fillId="3" borderId="5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0" fontId="0" fillId="3" borderId="5" xfId="0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3" xfId="0" applyBorder="1" applyAlignment="1">
      <alignment/>
    </xf>
    <xf numFmtId="42" fontId="14" fillId="3" borderId="2" xfId="0" applyNumberFormat="1" applyFont="1" applyFill="1" applyBorder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3.140625" style="0" customWidth="1"/>
    <col min="3" max="3" width="12.140625" style="0" customWidth="1"/>
    <col min="4" max="4" width="2.7109375" style="0" customWidth="1"/>
    <col min="5" max="5" width="4.7109375" style="0" customWidth="1"/>
    <col min="6" max="16" width="8.421875" style="0" customWidth="1"/>
  </cols>
  <sheetData>
    <row r="2" spans="2:7" ht="18">
      <c r="B2" s="20" t="s">
        <v>21</v>
      </c>
      <c r="F2" s="21"/>
      <c r="G2" s="157" t="s">
        <v>163</v>
      </c>
    </row>
    <row r="4" spans="1:8" ht="12.75">
      <c r="A4" s="12"/>
      <c r="B4" s="22" t="s">
        <v>228</v>
      </c>
      <c r="C4" s="3"/>
      <c r="D4" s="3"/>
      <c r="E4" s="3"/>
      <c r="F4" s="3"/>
      <c r="G4" s="3"/>
      <c r="H4" s="3"/>
    </row>
    <row r="5" spans="1:8" ht="12.75">
      <c r="A5" s="12"/>
      <c r="B5" s="3" t="s">
        <v>229</v>
      </c>
      <c r="C5" s="3"/>
      <c r="D5" s="3"/>
      <c r="E5" s="3"/>
      <c r="F5" s="3"/>
      <c r="G5" s="3"/>
      <c r="H5" s="3"/>
    </row>
    <row r="6" spans="1:8" ht="12.75">
      <c r="A6" s="12"/>
      <c r="B6" s="3" t="s">
        <v>225</v>
      </c>
      <c r="C6" s="3"/>
      <c r="D6" s="3"/>
      <c r="E6" s="3"/>
      <c r="F6" s="3"/>
      <c r="G6" s="3"/>
      <c r="H6" s="3"/>
    </row>
    <row r="7" spans="1:8" ht="12.75">
      <c r="A7" s="12"/>
      <c r="B7" s="3" t="s">
        <v>226</v>
      </c>
      <c r="C7" s="3"/>
      <c r="D7" s="3"/>
      <c r="E7" s="3"/>
      <c r="F7" s="3"/>
      <c r="G7" s="3"/>
      <c r="H7" s="3"/>
    </row>
    <row r="8" spans="1:8" ht="12.75">
      <c r="A8" s="12"/>
      <c r="B8" s="3" t="s">
        <v>227</v>
      </c>
      <c r="C8" s="3"/>
      <c r="D8" s="3"/>
      <c r="E8" s="3"/>
      <c r="F8" s="3"/>
      <c r="G8" s="3"/>
      <c r="H8" s="3"/>
    </row>
    <row r="9" spans="1:8" ht="18.75" customHeight="1">
      <c r="A9" s="12"/>
      <c r="B9" s="3"/>
      <c r="C9" s="3"/>
      <c r="D9" s="3"/>
      <c r="E9" s="3"/>
      <c r="F9" s="3"/>
      <c r="G9" s="3"/>
      <c r="H9" s="3"/>
    </row>
    <row r="10" spans="1:8" ht="12.75">
      <c r="A10" s="12"/>
      <c r="C10" s="14" t="s">
        <v>22</v>
      </c>
      <c r="D10" s="14"/>
      <c r="E10" s="43">
        <v>6</v>
      </c>
      <c r="F10" s="23" t="s">
        <v>36</v>
      </c>
      <c r="G10" s="3"/>
      <c r="H10" s="3"/>
    </row>
    <row r="11" spans="1:8" ht="12.75">
      <c r="A11" s="12"/>
      <c r="B11" s="3"/>
      <c r="C11" s="3"/>
      <c r="D11" s="3"/>
      <c r="E11" s="3"/>
      <c r="F11" s="3"/>
      <c r="G11" s="3"/>
      <c r="H11" s="3"/>
    </row>
    <row r="12" spans="3:11" ht="12.75">
      <c r="C12" s="14" t="s">
        <v>29</v>
      </c>
      <c r="F12" s="33" t="s">
        <v>27</v>
      </c>
      <c r="G12" s="34"/>
      <c r="H12" s="17" t="s">
        <v>8</v>
      </c>
      <c r="I12" s="34"/>
      <c r="J12" s="87"/>
      <c r="K12" s="1" t="s">
        <v>272</v>
      </c>
    </row>
    <row r="13" spans="2:13" ht="12.75">
      <c r="B13" s="24" t="s">
        <v>39</v>
      </c>
      <c r="C13" s="40" t="s">
        <v>24</v>
      </c>
      <c r="F13" s="103">
        <v>50</v>
      </c>
      <c r="G13" s="333"/>
      <c r="H13" s="334">
        <v>858</v>
      </c>
      <c r="I13" s="15"/>
      <c r="J13" s="88"/>
      <c r="K13" s="215" t="s">
        <v>183</v>
      </c>
      <c r="L13" s="26"/>
      <c r="M13" s="27"/>
    </row>
    <row r="14" spans="2:13" ht="12.75">
      <c r="B14" s="24" t="s">
        <v>40</v>
      </c>
      <c r="C14" s="40" t="s">
        <v>25</v>
      </c>
      <c r="F14" s="103">
        <v>150</v>
      </c>
      <c r="G14" s="333"/>
      <c r="H14" s="334">
        <v>704</v>
      </c>
      <c r="I14" s="15"/>
      <c r="J14" s="88"/>
      <c r="L14" s="28"/>
      <c r="M14" s="27"/>
    </row>
    <row r="15" spans="2:13" ht="12.75">
      <c r="B15" s="24" t="s">
        <v>41</v>
      </c>
      <c r="C15" s="40" t="s">
        <v>26</v>
      </c>
      <c r="F15" s="103">
        <v>80</v>
      </c>
      <c r="G15" s="333"/>
      <c r="H15" s="334">
        <v>528</v>
      </c>
      <c r="I15" s="15"/>
      <c r="J15" s="88"/>
      <c r="K15" s="12"/>
      <c r="L15" s="28"/>
      <c r="M15" s="27"/>
    </row>
    <row r="16" spans="6:13" ht="15.75">
      <c r="F16" s="4"/>
      <c r="G16" s="13"/>
      <c r="I16" s="15"/>
      <c r="J16" s="88"/>
      <c r="K16" s="12"/>
      <c r="L16" s="29"/>
      <c r="M16" s="29"/>
    </row>
    <row r="17" spans="6:10" ht="12.75">
      <c r="F17" s="17" t="s">
        <v>30</v>
      </c>
      <c r="G17" s="31"/>
      <c r="H17" s="17" t="s">
        <v>7</v>
      </c>
      <c r="I17" s="32"/>
      <c r="J17" s="87"/>
    </row>
    <row r="18" spans="3:16" ht="12.75">
      <c r="C18" s="14" t="s">
        <v>28</v>
      </c>
      <c r="F18" s="43"/>
      <c r="G18" s="335"/>
      <c r="H18" s="234"/>
      <c r="I18" s="12"/>
      <c r="J18" s="88"/>
      <c r="N18" s="24" t="s">
        <v>33</v>
      </c>
      <c r="O18" s="340">
        <f>ROUND(((F18*H18)+(F13*H13*12)+(F14*H14*12)+(F15*H15*12))/1000,1)*1000</f>
        <v>2288900</v>
      </c>
      <c r="P18" s="341"/>
    </row>
    <row r="20" spans="6:15" ht="12.75">
      <c r="F20" s="10" t="s">
        <v>31</v>
      </c>
      <c r="G20" s="30">
        <v>1</v>
      </c>
      <c r="H20" s="30">
        <v>2</v>
      </c>
      <c r="I20" s="30">
        <v>3</v>
      </c>
      <c r="J20" s="30">
        <v>4</v>
      </c>
      <c r="K20" s="30">
        <v>5</v>
      </c>
      <c r="L20" s="30">
        <v>6</v>
      </c>
      <c r="M20" s="30">
        <v>7</v>
      </c>
      <c r="N20" s="30">
        <v>8</v>
      </c>
      <c r="O20" s="30">
        <v>9</v>
      </c>
    </row>
    <row r="21" spans="3:15" ht="12.75">
      <c r="C21" s="14" t="s">
        <v>37</v>
      </c>
      <c r="F21" s="41">
        <v>0.025</v>
      </c>
      <c r="G21" s="41">
        <v>0.05</v>
      </c>
      <c r="H21" s="41">
        <v>0.05</v>
      </c>
      <c r="I21" s="41">
        <v>0.035</v>
      </c>
      <c r="J21" s="41">
        <v>0.035</v>
      </c>
      <c r="K21" s="41">
        <v>0.035</v>
      </c>
      <c r="L21" s="41"/>
      <c r="M21" s="41"/>
      <c r="N21" s="41"/>
      <c r="O21" s="41"/>
    </row>
    <row r="22" spans="3:6" ht="12.75">
      <c r="C22" s="38" t="s">
        <v>35</v>
      </c>
      <c r="F22" s="35" t="s">
        <v>32</v>
      </c>
    </row>
    <row r="24" spans="6:16" ht="12.75">
      <c r="F24" s="36"/>
      <c r="G24" s="30">
        <v>1</v>
      </c>
      <c r="H24" s="30">
        <v>2</v>
      </c>
      <c r="I24" s="30">
        <v>3</v>
      </c>
      <c r="J24" s="30">
        <v>4</v>
      </c>
      <c r="K24" s="30">
        <v>5</v>
      </c>
      <c r="L24" s="30">
        <v>6</v>
      </c>
      <c r="M24" s="30">
        <v>7</v>
      </c>
      <c r="N24" s="30">
        <v>8</v>
      </c>
      <c r="O24" s="30">
        <v>9</v>
      </c>
      <c r="P24" s="30">
        <v>10</v>
      </c>
    </row>
    <row r="25" spans="3:16" ht="12.75">
      <c r="C25" s="14" t="s">
        <v>34</v>
      </c>
      <c r="E25" s="39" t="s">
        <v>38</v>
      </c>
      <c r="F25" s="37"/>
      <c r="G25" s="42">
        <v>0.075</v>
      </c>
      <c r="H25" s="41">
        <v>0.04</v>
      </c>
      <c r="I25" s="41">
        <v>0.04</v>
      </c>
      <c r="J25" s="41">
        <v>0.06</v>
      </c>
      <c r="K25" s="41">
        <v>0.06</v>
      </c>
      <c r="L25" s="41">
        <v>0.06</v>
      </c>
      <c r="M25" s="41"/>
      <c r="N25" s="41"/>
      <c r="O25" s="41"/>
      <c r="P25" s="43"/>
    </row>
    <row r="28" spans="3:7" ht="12.75">
      <c r="C28" s="14" t="s">
        <v>43</v>
      </c>
      <c r="F28" s="41">
        <v>0.047</v>
      </c>
      <c r="G28" s="18" t="s">
        <v>44</v>
      </c>
    </row>
    <row r="30" spans="10:16" ht="12.75">
      <c r="J30" s="1"/>
      <c r="N30" s="115" t="s">
        <v>42</v>
      </c>
      <c r="O30" s="342">
        <f>ROUND((O18*(1+F21))/1000,1)*1000</f>
        <v>2346100</v>
      </c>
      <c r="P30" s="343"/>
    </row>
    <row r="38" ht="12.75">
      <c r="B38" s="396" t="s">
        <v>274</v>
      </c>
    </row>
  </sheetData>
  <mergeCells count="2">
    <mergeCell ref="O18:P18"/>
    <mergeCell ref="O30:P30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4"/>
      <c r="B2" s="20" t="s">
        <v>177</v>
      </c>
      <c r="C2" s="20"/>
      <c r="F2" s="4"/>
      <c r="G2" s="3"/>
      <c r="H2" s="3"/>
      <c r="I2" s="3"/>
      <c r="J2" s="3"/>
      <c r="K2" s="208" t="s">
        <v>176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customHeight="1">
      <c r="A3" s="4"/>
      <c r="B3" s="3"/>
      <c r="C3" s="179"/>
      <c r="D3" s="179"/>
      <c r="E3" s="179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11"/>
      <c r="B4" s="210" t="s">
        <v>180</v>
      </c>
      <c r="I4" s="11"/>
      <c r="J4" s="11"/>
      <c r="K4" s="12"/>
      <c r="L4" s="12"/>
      <c r="M4" s="5"/>
      <c r="N4" s="5"/>
      <c r="O4" s="12"/>
      <c r="P4" s="12"/>
      <c r="Q4" s="11"/>
      <c r="R4" s="11"/>
      <c r="S4" s="12"/>
      <c r="T4" s="12"/>
      <c r="U4" s="7"/>
      <c r="V4" s="6"/>
      <c r="W4" s="3"/>
      <c r="X4" s="3"/>
    </row>
    <row r="5" spans="1:24" ht="12.75">
      <c r="A5" s="11"/>
      <c r="B5" s="210" t="s">
        <v>181</v>
      </c>
      <c r="I5" s="11"/>
      <c r="J5" s="11"/>
      <c r="K5" s="12"/>
      <c r="L5" s="12"/>
      <c r="M5" s="5"/>
      <c r="N5" s="5"/>
      <c r="O5" s="12"/>
      <c r="P5" s="12"/>
      <c r="Q5" s="11"/>
      <c r="R5" s="11"/>
      <c r="S5" s="12"/>
      <c r="T5" s="12"/>
      <c r="U5" s="7"/>
      <c r="V5" s="6"/>
      <c r="W5" s="3"/>
      <c r="X5" s="3"/>
    </row>
    <row r="6" spans="1:24" ht="12.75">
      <c r="A6" s="11"/>
      <c r="B6" s="210" t="s">
        <v>179</v>
      </c>
      <c r="I6" s="1" t="s">
        <v>269</v>
      </c>
      <c r="J6" s="11"/>
      <c r="K6" s="12"/>
      <c r="L6" s="12"/>
      <c r="M6" s="5"/>
      <c r="N6" s="5"/>
      <c r="O6" s="12"/>
      <c r="P6" s="12"/>
      <c r="Q6" s="11"/>
      <c r="R6" s="11"/>
      <c r="S6" s="12"/>
      <c r="T6" s="12"/>
      <c r="U6" s="7"/>
      <c r="V6" s="6"/>
      <c r="W6" s="3"/>
      <c r="X6" s="3"/>
    </row>
    <row r="7" spans="1:24" ht="12.75">
      <c r="A7" s="11"/>
      <c r="B7" s="12"/>
      <c r="I7" s="11"/>
      <c r="J7" s="11"/>
      <c r="K7" s="12"/>
      <c r="L7" s="12"/>
      <c r="M7" s="5"/>
      <c r="N7" s="5"/>
      <c r="O7" s="12"/>
      <c r="P7" s="12"/>
      <c r="Q7" s="11"/>
      <c r="R7" s="11"/>
      <c r="S7" s="12"/>
      <c r="T7" s="12"/>
      <c r="U7" s="7"/>
      <c r="V7" s="6"/>
      <c r="W7" s="3"/>
      <c r="X7" s="3"/>
    </row>
    <row r="8" spans="1:24" ht="12.75">
      <c r="A8" s="12"/>
      <c r="B8" s="12"/>
      <c r="C8" s="16"/>
      <c r="D8" s="95"/>
      <c r="E8" s="95"/>
      <c r="F8" s="202" t="s">
        <v>22</v>
      </c>
      <c r="G8" s="203">
        <f>Intro!E10</f>
        <v>6</v>
      </c>
      <c r="H8" s="204"/>
      <c r="I8" s="11"/>
      <c r="J8" s="195"/>
      <c r="K8" s="187"/>
      <c r="L8" s="187"/>
      <c r="M8" s="188" t="s">
        <v>172</v>
      </c>
      <c r="N8" s="196"/>
      <c r="O8" s="378">
        <f>Sale!K24</f>
        <v>17800000</v>
      </c>
      <c r="P8" s="380"/>
      <c r="Q8" s="31"/>
      <c r="R8" s="11"/>
      <c r="S8" s="12"/>
      <c r="T8" s="12"/>
      <c r="U8" s="5"/>
      <c r="V8" s="5"/>
      <c r="W8" s="3"/>
      <c r="X8" s="3"/>
    </row>
    <row r="9" spans="1:24" ht="12.75">
      <c r="A9" s="11"/>
      <c r="B9" s="12"/>
      <c r="E9" s="24"/>
      <c r="F9" s="12"/>
      <c r="G9" s="170"/>
      <c r="H9" s="12"/>
      <c r="I9" s="11"/>
      <c r="J9" s="197"/>
      <c r="K9" s="183"/>
      <c r="L9" s="183"/>
      <c r="M9" s="198" t="s">
        <v>171</v>
      </c>
      <c r="N9" s="185"/>
      <c r="O9" s="373">
        <f>Sale!K25</f>
        <v>890000</v>
      </c>
      <c r="P9" s="374"/>
      <c r="Q9" s="31"/>
      <c r="R9" s="11"/>
      <c r="S9" s="12"/>
      <c r="T9" s="12"/>
      <c r="U9" s="7"/>
      <c r="V9" s="6"/>
      <c r="W9" s="6"/>
      <c r="X9" s="3"/>
    </row>
    <row r="10" spans="1:24" ht="12.75">
      <c r="A10" s="11"/>
      <c r="B10" s="12"/>
      <c r="C10" s="186"/>
      <c r="D10" s="187"/>
      <c r="E10" s="188" t="s">
        <v>0</v>
      </c>
      <c r="F10" s="187"/>
      <c r="G10" s="378">
        <f>Sale!D9</f>
        <v>11444500</v>
      </c>
      <c r="H10" s="379"/>
      <c r="I10" s="11"/>
      <c r="J10" s="197"/>
      <c r="K10" s="183"/>
      <c r="L10" s="183"/>
      <c r="M10" s="190" t="s">
        <v>170</v>
      </c>
      <c r="N10" s="184"/>
      <c r="O10" s="381">
        <f>Sale!K26</f>
        <v>16910000</v>
      </c>
      <c r="P10" s="382"/>
      <c r="Q10" s="31"/>
      <c r="R10" s="11"/>
      <c r="S10" s="12"/>
      <c r="T10" s="12"/>
      <c r="U10" s="7"/>
      <c r="V10" s="7"/>
      <c r="W10" s="7"/>
      <c r="X10" s="3"/>
    </row>
    <row r="11" spans="1:24" ht="12.75">
      <c r="A11" s="11"/>
      <c r="B11" s="12"/>
      <c r="C11" s="189"/>
      <c r="D11" s="183"/>
      <c r="E11" s="190" t="s">
        <v>129</v>
      </c>
      <c r="F11" s="184"/>
      <c r="G11" s="373">
        <f>Sale!D10</f>
        <v>150000</v>
      </c>
      <c r="H11" s="376"/>
      <c r="I11" s="11"/>
      <c r="J11" s="197"/>
      <c r="K11" s="183"/>
      <c r="L11" s="183"/>
      <c r="M11" s="198" t="s">
        <v>169</v>
      </c>
      <c r="N11" s="184"/>
      <c r="O11" s="373">
        <f>Sale!K27</f>
        <v>6750100</v>
      </c>
      <c r="P11" s="374"/>
      <c r="Q11" s="178"/>
      <c r="R11" s="175"/>
      <c r="S11" s="12"/>
      <c r="T11" s="12"/>
      <c r="U11" s="7"/>
      <c r="V11" s="6"/>
      <c r="W11" s="8"/>
      <c r="X11" s="3"/>
    </row>
    <row r="12" spans="1:24" ht="12.75">
      <c r="A12" s="12"/>
      <c r="B12" s="12"/>
      <c r="C12" s="189"/>
      <c r="D12" s="183"/>
      <c r="E12" s="190" t="s">
        <v>164</v>
      </c>
      <c r="F12" s="185"/>
      <c r="G12" s="378">
        <f>G10+G11</f>
        <v>11594500</v>
      </c>
      <c r="H12" s="379"/>
      <c r="I12" s="12"/>
      <c r="J12" s="189"/>
      <c r="K12" s="183"/>
      <c r="L12" s="183"/>
      <c r="M12" s="190" t="s">
        <v>168</v>
      </c>
      <c r="N12" s="183"/>
      <c r="O12" s="381">
        <f>O10-O11</f>
        <v>10159900</v>
      </c>
      <c r="P12" s="382"/>
      <c r="Q12" s="31"/>
      <c r="R12" s="12"/>
      <c r="S12" s="12"/>
      <c r="T12" s="12"/>
      <c r="U12" s="12"/>
      <c r="V12" s="3"/>
      <c r="W12" s="3"/>
      <c r="X12" s="3"/>
    </row>
    <row r="13" spans="1:24" ht="12.75">
      <c r="A13" s="12"/>
      <c r="B13" s="12"/>
      <c r="C13" s="189"/>
      <c r="D13" s="183"/>
      <c r="E13" s="190" t="s">
        <v>165</v>
      </c>
      <c r="F13" s="184"/>
      <c r="G13" s="375">
        <f>Mortgage!C10</f>
        <v>8000000</v>
      </c>
      <c r="H13" s="376"/>
      <c r="I13" s="12"/>
      <c r="J13" s="189"/>
      <c r="K13" s="183"/>
      <c r="L13" s="183"/>
      <c r="M13" s="198" t="s">
        <v>167</v>
      </c>
      <c r="N13" s="194"/>
      <c r="O13" s="373">
        <f>Sale!K29</f>
        <v>1563400</v>
      </c>
      <c r="P13" s="374"/>
      <c r="Q13" s="31"/>
      <c r="R13" s="12"/>
      <c r="S13" s="12"/>
      <c r="T13" s="12"/>
      <c r="U13" s="12"/>
      <c r="V13" s="3"/>
      <c r="W13" s="3"/>
      <c r="X13" s="3"/>
    </row>
    <row r="14" spans="1:24" ht="12.75">
      <c r="A14" s="180"/>
      <c r="B14" s="181"/>
      <c r="C14" s="191"/>
      <c r="D14" s="192"/>
      <c r="E14" s="193" t="s">
        <v>4</v>
      </c>
      <c r="F14" s="192"/>
      <c r="G14" s="377">
        <f>G12-G13</f>
        <v>3594500</v>
      </c>
      <c r="H14" s="348"/>
      <c r="I14" s="12"/>
      <c r="J14" s="191"/>
      <c r="K14" s="199"/>
      <c r="L14" s="199"/>
      <c r="M14" s="200" t="s">
        <v>166</v>
      </c>
      <c r="N14" s="201"/>
      <c r="O14" s="373">
        <f>O12-O13</f>
        <v>8596500</v>
      </c>
      <c r="P14" s="374"/>
      <c r="Q14" s="31"/>
      <c r="R14" s="88"/>
      <c r="S14" s="180"/>
      <c r="T14" s="180"/>
      <c r="U14" s="181"/>
      <c r="V14" s="6"/>
      <c r="W14" s="3"/>
      <c r="X14" s="3"/>
    </row>
    <row r="15" spans="1:24" ht="12.75">
      <c r="A15" s="180"/>
      <c r="B15" s="181"/>
      <c r="C15" s="12"/>
      <c r="D15" s="12"/>
      <c r="E15" s="177"/>
      <c r="F15" s="11"/>
      <c r="G15" s="12"/>
      <c r="H15" s="12"/>
      <c r="I15" s="12"/>
      <c r="J15" s="12"/>
      <c r="K15" s="167"/>
      <c r="L15" s="167"/>
      <c r="M15" s="176"/>
      <c r="N15" s="176"/>
      <c r="O15" s="167"/>
      <c r="P15" s="167"/>
      <c r="Q15" s="12"/>
      <c r="R15" s="88"/>
      <c r="S15" s="180"/>
      <c r="T15" s="180"/>
      <c r="U15" s="181"/>
      <c r="V15" s="7"/>
      <c r="W15" s="3"/>
      <c r="X15" s="3"/>
    </row>
    <row r="16" spans="1:24" ht="12.75">
      <c r="A16" s="180"/>
      <c r="B16" s="181"/>
      <c r="C16" s="12"/>
      <c r="D16" s="12"/>
      <c r="E16" s="177"/>
      <c r="F16" s="11"/>
      <c r="G16" s="12"/>
      <c r="H16" s="12"/>
      <c r="I16" s="12"/>
      <c r="J16" s="12"/>
      <c r="K16" s="167"/>
      <c r="L16" s="167"/>
      <c r="M16" s="176"/>
      <c r="N16" s="176"/>
      <c r="O16" s="167"/>
      <c r="P16" s="167"/>
      <c r="Q16" s="12"/>
      <c r="R16" s="88"/>
      <c r="S16" s="180"/>
      <c r="T16" s="180"/>
      <c r="U16" s="181"/>
      <c r="V16" s="7"/>
      <c r="W16" s="3"/>
      <c r="X16" s="3"/>
    </row>
    <row r="17" spans="1:24" ht="12.75">
      <c r="A17" s="3"/>
      <c r="B17" s="3"/>
      <c r="C17" s="9">
        <v>0</v>
      </c>
      <c r="D17" s="11"/>
      <c r="E17" s="10">
        <v>1</v>
      </c>
      <c r="F17" s="276"/>
      <c r="G17" s="10">
        <v>2</v>
      </c>
      <c r="H17" s="276"/>
      <c r="I17" s="10">
        <v>3</v>
      </c>
      <c r="J17" s="276"/>
      <c r="K17" s="10">
        <v>4</v>
      </c>
      <c r="L17" s="276"/>
      <c r="M17" s="10">
        <v>5</v>
      </c>
      <c r="N17" s="276"/>
      <c r="O17" s="10">
        <v>6</v>
      </c>
      <c r="P17" s="36"/>
      <c r="Q17" s="10">
        <v>7</v>
      </c>
      <c r="R17" s="276"/>
      <c r="S17" s="10">
        <v>8</v>
      </c>
      <c r="T17" s="276"/>
      <c r="U17" s="10">
        <v>9</v>
      </c>
      <c r="V17" s="276"/>
      <c r="W17" s="10">
        <v>10</v>
      </c>
      <c r="X17" s="3"/>
    </row>
    <row r="18" spans="2:24" ht="12.75">
      <c r="B18" s="273" t="s">
        <v>17</v>
      </c>
      <c r="C18" s="158"/>
      <c r="D18" s="31"/>
      <c r="E18" s="80">
        <f>BTCF!C30</f>
        <v>462700</v>
      </c>
      <c r="F18" s="80"/>
      <c r="G18" s="80">
        <f>BTCF!E30</f>
        <v>635700</v>
      </c>
      <c r="H18" s="80"/>
      <c r="I18" s="80">
        <f>BTCF!G30</f>
        <v>731800</v>
      </c>
      <c r="J18" s="80"/>
      <c r="K18" s="80">
        <f>BTCF!I30</f>
        <v>667900</v>
      </c>
      <c r="L18" s="80"/>
      <c r="M18" s="80">
        <f>BTCF!K30</f>
        <v>732500</v>
      </c>
      <c r="N18" s="80"/>
      <c r="O18" s="80">
        <f>BTCF!M30</f>
        <v>799300</v>
      </c>
      <c r="P18" s="172"/>
      <c r="Q18" s="80">
        <f>BTCF!O30</f>
        <v>0</v>
      </c>
      <c r="R18" s="80"/>
      <c r="S18" s="80">
        <f>BTCF!Q30</f>
        <v>0</v>
      </c>
      <c r="T18" s="80"/>
      <c r="U18" s="80">
        <f>BTCF!S30</f>
        <v>0</v>
      </c>
      <c r="V18" s="80"/>
      <c r="W18" s="80">
        <f>BTCF!U30</f>
        <v>0</v>
      </c>
      <c r="X18" s="3"/>
    </row>
    <row r="19" spans="2:24" ht="12.75">
      <c r="B19" s="273" t="s">
        <v>18</v>
      </c>
      <c r="C19" s="160"/>
      <c r="D19" s="163"/>
      <c r="E19" s="161">
        <v>0</v>
      </c>
      <c r="F19" s="107"/>
      <c r="G19" s="161">
        <f>IF($G$8=2,$O$12,0)</f>
        <v>0</v>
      </c>
      <c r="H19" s="107"/>
      <c r="I19" s="161">
        <f>IF($G$8=3,$O$12,0)</f>
        <v>0</v>
      </c>
      <c r="J19" s="107"/>
      <c r="K19" s="161">
        <f>IF($G$8=4,$O$12,0)</f>
        <v>0</v>
      </c>
      <c r="L19" s="107"/>
      <c r="M19" s="161">
        <f>IF($G$8=5,$O$12,0)</f>
        <v>0</v>
      </c>
      <c r="N19" s="107"/>
      <c r="O19" s="161">
        <f>IF($G$8=6,$O$12,0)</f>
        <v>10159900</v>
      </c>
      <c r="P19" s="169"/>
      <c r="Q19" s="161">
        <f>IF($G$8=7,$O$12,0)</f>
        <v>0</v>
      </c>
      <c r="R19" s="107"/>
      <c r="S19" s="161">
        <f>IF($G$8=8,$O$12,0)</f>
        <v>0</v>
      </c>
      <c r="T19" s="107"/>
      <c r="U19" s="161">
        <f>IF($G$8=9,$O$12,0)</f>
        <v>0</v>
      </c>
      <c r="V19" s="107"/>
      <c r="W19" s="161">
        <f>IF($G$8=10,$O$12,0)</f>
        <v>0</v>
      </c>
      <c r="X19" s="3"/>
    </row>
    <row r="20" spans="2:24" ht="12.75">
      <c r="B20" s="273" t="s">
        <v>242</v>
      </c>
      <c r="C20" s="162">
        <f>-G14</f>
        <v>-3594500</v>
      </c>
      <c r="D20" s="275"/>
      <c r="E20" s="107">
        <f>E18+E19</f>
        <v>462700</v>
      </c>
      <c r="F20" s="107"/>
      <c r="G20" s="107">
        <f aca="true" t="shared" si="0" ref="G20:W20">G18+G19</f>
        <v>635700</v>
      </c>
      <c r="H20" s="107"/>
      <c r="I20" s="107">
        <f t="shared" si="0"/>
        <v>731800</v>
      </c>
      <c r="J20" s="107"/>
      <c r="K20" s="107">
        <f t="shared" si="0"/>
        <v>667900</v>
      </c>
      <c r="L20" s="107"/>
      <c r="M20" s="107">
        <f t="shared" si="0"/>
        <v>732500</v>
      </c>
      <c r="N20" s="107"/>
      <c r="O20" s="107">
        <f t="shared" si="0"/>
        <v>10959200</v>
      </c>
      <c r="P20" s="169"/>
      <c r="Q20" s="107">
        <f t="shared" si="0"/>
        <v>0</v>
      </c>
      <c r="R20" s="107"/>
      <c r="S20" s="107">
        <f t="shared" si="0"/>
        <v>0</v>
      </c>
      <c r="T20" s="107"/>
      <c r="U20" s="107">
        <f t="shared" si="0"/>
        <v>0</v>
      </c>
      <c r="V20" s="107"/>
      <c r="W20" s="107">
        <f t="shared" si="0"/>
        <v>0</v>
      </c>
      <c r="X20" s="3"/>
    </row>
    <row r="21" spans="1:24" ht="12.75">
      <c r="A21" s="34"/>
      <c r="B21" s="158"/>
      <c r="C21" s="163"/>
      <c r="D21" s="163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69"/>
      <c r="Q21" s="107"/>
      <c r="R21" s="107"/>
      <c r="S21" s="107"/>
      <c r="T21" s="107"/>
      <c r="U21" s="107"/>
      <c r="V21" s="107"/>
      <c r="W21" s="107"/>
      <c r="X21" s="3"/>
    </row>
    <row r="22" spans="1:24" ht="19.5" customHeight="1">
      <c r="A22" s="34"/>
      <c r="F22" s="168"/>
      <c r="G22" s="158"/>
      <c r="H22" s="31"/>
      <c r="I22" s="158"/>
      <c r="J22" s="31"/>
      <c r="K22" s="174"/>
      <c r="L22" s="174"/>
      <c r="M22" s="211"/>
      <c r="N22" s="87"/>
      <c r="O22" s="371"/>
      <c r="P22" s="372"/>
      <c r="Q22" s="174"/>
      <c r="R22" s="174"/>
      <c r="S22" s="173"/>
      <c r="T22" s="166"/>
      <c r="U22" s="205"/>
      <c r="V22" s="206" t="s">
        <v>246</v>
      </c>
      <c r="W22" s="164">
        <f>IRR(C20:W20)</f>
        <v>0.3130996803061534</v>
      </c>
      <c r="X22" s="3"/>
    </row>
    <row r="23" spans="1:24" ht="12.75" customHeight="1">
      <c r="A23" s="34"/>
      <c r="B23" s="174"/>
      <c r="C23" s="211"/>
      <c r="D23" s="212"/>
      <c r="E23" s="168"/>
      <c r="F23" s="168"/>
      <c r="G23" s="158"/>
      <c r="H23" s="31"/>
      <c r="I23" s="158"/>
      <c r="J23" s="31"/>
      <c r="K23" s="158"/>
      <c r="L23" s="31"/>
      <c r="M23" s="182"/>
      <c r="N23" s="17"/>
      <c r="O23" s="173"/>
      <c r="P23" s="173"/>
      <c r="Q23" s="170"/>
      <c r="R23" s="170"/>
      <c r="S23" s="173"/>
      <c r="T23" s="173"/>
      <c r="U23" s="213"/>
      <c r="V23" s="214"/>
      <c r="W23" s="89"/>
      <c r="X23" s="3"/>
    </row>
    <row r="24" spans="1:24" ht="12.75" customHeight="1">
      <c r="A24" s="34"/>
      <c r="B24" s="174"/>
      <c r="C24" s="211"/>
      <c r="D24" s="212"/>
      <c r="E24" s="168"/>
      <c r="F24" s="168"/>
      <c r="G24" s="158"/>
      <c r="H24" s="31"/>
      <c r="I24" s="158"/>
      <c r="J24" s="31"/>
      <c r="K24" s="158"/>
      <c r="L24" s="31"/>
      <c r="M24" s="182"/>
      <c r="N24" s="17"/>
      <c r="O24" s="173"/>
      <c r="P24" s="173"/>
      <c r="Q24" s="170"/>
      <c r="R24" s="170"/>
      <c r="S24" s="173"/>
      <c r="T24" s="173"/>
      <c r="U24" s="213"/>
      <c r="V24" s="214"/>
      <c r="W24" s="89"/>
      <c r="X24" s="3"/>
    </row>
    <row r="25" spans="1:24" ht="19.5" customHeight="1">
      <c r="A25" s="34"/>
      <c r="B25" s="174"/>
      <c r="C25" s="9">
        <v>0</v>
      </c>
      <c r="D25" s="11"/>
      <c r="E25" s="10">
        <v>1</v>
      </c>
      <c r="F25" s="276"/>
      <c r="G25" s="10">
        <v>2</v>
      </c>
      <c r="H25" s="276"/>
      <c r="I25" s="10">
        <v>3</v>
      </c>
      <c r="J25" s="276"/>
      <c r="K25" s="10">
        <v>4</v>
      </c>
      <c r="L25" s="276"/>
      <c r="M25" s="10">
        <v>5</v>
      </c>
      <c r="N25" s="276"/>
      <c r="O25" s="10">
        <v>6</v>
      </c>
      <c r="P25" s="36"/>
      <c r="Q25" s="10">
        <v>7</v>
      </c>
      <c r="R25" s="276"/>
      <c r="S25" s="10">
        <v>8</v>
      </c>
      <c r="T25" s="276"/>
      <c r="U25" s="10">
        <v>9</v>
      </c>
      <c r="V25" s="276"/>
      <c r="W25" s="10">
        <v>10</v>
      </c>
      <c r="X25" s="3"/>
    </row>
    <row r="26" spans="2:24" ht="12.75">
      <c r="B26" s="273" t="s">
        <v>19</v>
      </c>
      <c r="C26" s="158"/>
      <c r="D26" s="31"/>
      <c r="E26" s="49">
        <f>ATCF!C43</f>
        <v>339600</v>
      </c>
      <c r="F26" s="50"/>
      <c r="G26" s="49">
        <f>ATCF!E43</f>
        <v>443500</v>
      </c>
      <c r="H26" s="50"/>
      <c r="I26" s="49">
        <f>ATCF!G43</f>
        <v>495000</v>
      </c>
      <c r="J26" s="50"/>
      <c r="K26" s="49">
        <f>ATCF!I43</f>
        <v>450100</v>
      </c>
      <c r="L26" s="50"/>
      <c r="M26" s="49">
        <f>ATCF!K43</f>
        <v>481700</v>
      </c>
      <c r="N26" s="50"/>
      <c r="O26" s="49">
        <f>ATCF!M43</f>
        <v>508500</v>
      </c>
      <c r="P26" s="156"/>
      <c r="Q26" s="49">
        <f>ATCF!O43</f>
        <v>0</v>
      </c>
      <c r="R26" s="50"/>
      <c r="S26" s="49">
        <f>ATCF!Q43</f>
        <v>0</v>
      </c>
      <c r="T26" s="50"/>
      <c r="U26" s="49">
        <f>ATCF!S43</f>
        <v>0</v>
      </c>
      <c r="V26" s="50"/>
      <c r="W26" s="49">
        <f>ATCF!U43</f>
        <v>0</v>
      </c>
      <c r="X26" s="3"/>
    </row>
    <row r="27" spans="2:24" ht="12.75">
      <c r="B27" s="273" t="s">
        <v>20</v>
      </c>
      <c r="C27" s="165"/>
      <c r="D27" s="31"/>
      <c r="E27" s="161">
        <v>0</v>
      </c>
      <c r="F27" s="169"/>
      <c r="G27" s="161">
        <f>IF($G$8=2,$O$14,0)</f>
        <v>0</v>
      </c>
      <c r="H27" s="107"/>
      <c r="I27" s="161">
        <f>IF($G$8=3,$O$14,0)</f>
        <v>0</v>
      </c>
      <c r="J27" s="107"/>
      <c r="K27" s="161">
        <f>IF($G$8=4,$O$14,0)</f>
        <v>0</v>
      </c>
      <c r="L27" s="107"/>
      <c r="M27" s="161">
        <f>IF($G$8=5,$O$14,0)</f>
        <v>0</v>
      </c>
      <c r="N27" s="107"/>
      <c r="O27" s="161">
        <f>IF($G$8=6,$O$14,0)</f>
        <v>8596500</v>
      </c>
      <c r="P27" s="169"/>
      <c r="Q27" s="161">
        <f>IF($G$8=7,$O$14,0)</f>
        <v>0</v>
      </c>
      <c r="R27" s="107"/>
      <c r="S27" s="161">
        <f>IF($G$8=8,$O$14,0)</f>
        <v>0</v>
      </c>
      <c r="T27" s="107"/>
      <c r="U27" s="161">
        <f>IF($G$8=9,$O$14,0)</f>
        <v>0</v>
      </c>
      <c r="V27" s="107"/>
      <c r="W27" s="161">
        <f>IF($G$8=10,$O$14,0)</f>
        <v>0</v>
      </c>
      <c r="X27" s="3"/>
    </row>
    <row r="28" spans="2:24" ht="12.75">
      <c r="B28" s="273" t="s">
        <v>242</v>
      </c>
      <c r="C28" s="162">
        <f>-G14</f>
        <v>-3594500</v>
      </c>
      <c r="D28" s="275"/>
      <c r="E28" s="107">
        <f>E26+E27</f>
        <v>339600</v>
      </c>
      <c r="F28" s="107"/>
      <c r="G28" s="107">
        <f aca="true" t="shared" si="1" ref="G28:W28">G26+G27</f>
        <v>443500</v>
      </c>
      <c r="H28" s="107"/>
      <c r="I28" s="107">
        <f t="shared" si="1"/>
        <v>495000</v>
      </c>
      <c r="J28" s="107"/>
      <c r="K28" s="107">
        <f t="shared" si="1"/>
        <v>450100</v>
      </c>
      <c r="L28" s="107"/>
      <c r="M28" s="107">
        <f t="shared" si="1"/>
        <v>481700</v>
      </c>
      <c r="N28" s="107"/>
      <c r="O28" s="107">
        <f t="shared" si="1"/>
        <v>9105000</v>
      </c>
      <c r="P28" s="169"/>
      <c r="Q28" s="107">
        <f t="shared" si="1"/>
        <v>0</v>
      </c>
      <c r="R28" s="107"/>
      <c r="S28" s="107">
        <f t="shared" si="1"/>
        <v>0</v>
      </c>
      <c r="T28" s="107"/>
      <c r="U28" s="107">
        <f t="shared" si="1"/>
        <v>0</v>
      </c>
      <c r="V28" s="107"/>
      <c r="W28" s="107">
        <f t="shared" si="1"/>
        <v>0</v>
      </c>
      <c r="X28" s="3"/>
    </row>
    <row r="29" spans="1:24" ht="12.75">
      <c r="A29" s="158"/>
      <c r="B29" s="158"/>
      <c r="C29" s="158"/>
      <c r="D29" s="158"/>
      <c r="E29" s="158"/>
      <c r="F29" s="170"/>
      <c r="G29" s="158"/>
      <c r="H29" s="31"/>
      <c r="I29" s="158"/>
      <c r="J29" s="31"/>
      <c r="K29" s="158"/>
      <c r="L29" s="158"/>
      <c r="M29" s="158"/>
      <c r="N29" s="158"/>
      <c r="O29" s="158"/>
      <c r="P29" s="174"/>
      <c r="Q29" s="158"/>
      <c r="R29" s="158"/>
      <c r="S29" s="158"/>
      <c r="T29" s="158"/>
      <c r="U29" s="158"/>
      <c r="V29" s="158"/>
      <c r="W29" s="158"/>
      <c r="X29" s="3"/>
    </row>
    <row r="30" spans="1:24" ht="19.5" customHeight="1">
      <c r="A30" s="34"/>
      <c r="F30" s="168"/>
      <c r="G30" s="158"/>
      <c r="H30" s="158"/>
      <c r="I30" s="158"/>
      <c r="J30" s="174"/>
      <c r="K30" s="174"/>
      <c r="L30" s="174"/>
      <c r="M30" s="211"/>
      <c r="N30" s="87"/>
      <c r="O30" s="371"/>
      <c r="P30" s="372"/>
      <c r="Q30" s="174"/>
      <c r="R30" s="174"/>
      <c r="S30" s="173"/>
      <c r="T30" s="166"/>
      <c r="U30" s="205"/>
      <c r="V30" s="206" t="s">
        <v>245</v>
      </c>
      <c r="W30" s="164">
        <f>IRR(C28:W28)</f>
        <v>0.24599334169895537</v>
      </c>
      <c r="X30" s="3"/>
    </row>
    <row r="31" spans="1:24" ht="12.7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74"/>
      <c r="Q31" s="158"/>
      <c r="R31" s="158"/>
      <c r="S31" s="158"/>
      <c r="T31" s="158"/>
      <c r="U31" s="158"/>
      <c r="V31" s="158"/>
      <c r="W31" s="158"/>
      <c r="X31" s="3"/>
    </row>
    <row r="32" spans="8:24" ht="12.75"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214"/>
      <c r="X32" s="3"/>
    </row>
    <row r="33" spans="1:2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</sheetData>
  <mergeCells count="14">
    <mergeCell ref="G13:H13"/>
    <mergeCell ref="G14:H14"/>
    <mergeCell ref="G12:H12"/>
    <mergeCell ref="O8:P8"/>
    <mergeCell ref="O9:P9"/>
    <mergeCell ref="O10:P10"/>
    <mergeCell ref="O11:P11"/>
    <mergeCell ref="O12:P12"/>
    <mergeCell ref="G10:H10"/>
    <mergeCell ref="G11:H11"/>
    <mergeCell ref="O22:P22"/>
    <mergeCell ref="O30:P30"/>
    <mergeCell ref="O13:P13"/>
    <mergeCell ref="O14:P14"/>
  </mergeCells>
  <printOptions horizontalCentered="1" verticalCentered="1"/>
  <pageMargins left="0.75" right="0.75" top="1" bottom="1" header="0.5" footer="0.5"/>
  <pageSetup horizontalDpi="600" verticalDpi="600" orientation="landscape" scale="85" r:id="rId1"/>
  <ignoredErrors>
    <ignoredError sqref="O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X9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8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2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2.7109375" style="0" customWidth="1"/>
    <col min="23" max="23" width="9.7109375" style="0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4"/>
      <c r="B2" s="20" t="s">
        <v>230</v>
      </c>
      <c r="C2" s="20"/>
      <c r="F2" s="4"/>
      <c r="G2" s="332" t="s">
        <v>231</v>
      </c>
      <c r="H2" s="3"/>
      <c r="J2" s="3"/>
      <c r="K2" s="262" t="s">
        <v>235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9" customHeight="1">
      <c r="A3" s="4"/>
      <c r="B3" s="3"/>
      <c r="C3" s="179"/>
      <c r="D3" s="179"/>
      <c r="E3" s="179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11"/>
      <c r="B4" s="253" t="s">
        <v>236</v>
      </c>
      <c r="I4" s="11"/>
      <c r="J4" s="11"/>
      <c r="K4" s="16"/>
      <c r="L4" s="95"/>
      <c r="M4" s="95"/>
      <c r="N4" s="202" t="s">
        <v>22</v>
      </c>
      <c r="O4" s="203">
        <f>Intro!E10</f>
        <v>6</v>
      </c>
      <c r="P4" s="204"/>
      <c r="Q4" s="180"/>
      <c r="R4" s="88"/>
      <c r="S4" s="186"/>
      <c r="T4" s="188"/>
      <c r="U4" s="254" t="s">
        <v>172</v>
      </c>
      <c r="V4" s="378">
        <f>Sale!K24</f>
        <v>17800000</v>
      </c>
      <c r="W4" s="379"/>
      <c r="X4" s="3"/>
    </row>
    <row r="5" spans="1:24" ht="12.75">
      <c r="A5" s="11"/>
      <c r="B5" s="253" t="s">
        <v>237</v>
      </c>
      <c r="I5" s="11"/>
      <c r="J5" s="11"/>
      <c r="M5" s="24"/>
      <c r="N5" s="12"/>
      <c r="O5" s="170"/>
      <c r="P5" s="12"/>
      <c r="Q5" s="180"/>
      <c r="R5" s="88"/>
      <c r="S5" s="189"/>
      <c r="T5" s="198"/>
      <c r="U5" s="255" t="s">
        <v>171</v>
      </c>
      <c r="V5" s="373">
        <f>Sale!K25</f>
        <v>890000</v>
      </c>
      <c r="W5" s="376"/>
      <c r="X5" s="3"/>
    </row>
    <row r="6" spans="1:24" ht="12.75">
      <c r="A6" s="11"/>
      <c r="B6" s="253" t="s">
        <v>238</v>
      </c>
      <c r="I6" s="1"/>
      <c r="J6" s="11"/>
      <c r="K6" s="186"/>
      <c r="L6" s="187"/>
      <c r="M6" s="188" t="s">
        <v>0</v>
      </c>
      <c r="N6" s="187"/>
      <c r="O6" s="378">
        <f>Sale!D9</f>
        <v>11444500</v>
      </c>
      <c r="P6" s="379"/>
      <c r="Q6" s="180"/>
      <c r="R6" s="88"/>
      <c r="S6" s="189"/>
      <c r="T6" s="190"/>
      <c r="U6" s="256" t="s">
        <v>232</v>
      </c>
      <c r="V6" s="381">
        <f>Sale!K26</f>
        <v>16910000</v>
      </c>
      <c r="W6" s="394"/>
      <c r="X6" s="3"/>
    </row>
    <row r="7" spans="1:24" ht="12.75">
      <c r="A7" s="11"/>
      <c r="B7" s="12" t="s">
        <v>266</v>
      </c>
      <c r="E7" s="1" t="s">
        <v>272</v>
      </c>
      <c r="I7" s="11"/>
      <c r="J7" s="11"/>
      <c r="K7" s="189"/>
      <c r="L7" s="183"/>
      <c r="M7" s="190" t="s">
        <v>129</v>
      </c>
      <c r="N7" s="184"/>
      <c r="O7" s="373">
        <f>Sale!D10</f>
        <v>150000</v>
      </c>
      <c r="P7" s="376"/>
      <c r="Q7" s="180"/>
      <c r="R7" s="88"/>
      <c r="S7" s="189"/>
      <c r="T7" s="198"/>
      <c r="U7" s="255" t="s">
        <v>169</v>
      </c>
      <c r="V7" s="373">
        <f>Sale!K27</f>
        <v>6750100</v>
      </c>
      <c r="W7" s="376"/>
      <c r="X7" s="3"/>
    </row>
    <row r="8" spans="1:24" ht="12.75">
      <c r="A8" s="12"/>
      <c r="B8" s="12"/>
      <c r="I8" s="11"/>
      <c r="K8" s="189"/>
      <c r="L8" s="183"/>
      <c r="M8" s="190" t="s">
        <v>164</v>
      </c>
      <c r="N8" s="185"/>
      <c r="O8" s="378">
        <f>O6+O7</f>
        <v>11594500</v>
      </c>
      <c r="P8" s="379"/>
      <c r="Q8" s="88"/>
      <c r="R8" s="88"/>
      <c r="S8" s="189"/>
      <c r="T8" s="190"/>
      <c r="U8" s="256" t="s">
        <v>233</v>
      </c>
      <c r="V8" s="381">
        <f>V6-V7</f>
        <v>10159900</v>
      </c>
      <c r="W8" s="394"/>
      <c r="X8" s="3"/>
    </row>
    <row r="9" spans="1:24" ht="12.75">
      <c r="A9" s="11"/>
      <c r="B9" s="12"/>
      <c r="I9" s="11"/>
      <c r="K9" s="189"/>
      <c r="L9" s="183"/>
      <c r="M9" s="190" t="s">
        <v>165</v>
      </c>
      <c r="N9" s="184"/>
      <c r="O9" s="375">
        <f>Mortgage!C10</f>
        <v>8000000</v>
      </c>
      <c r="P9" s="376"/>
      <c r="Q9" s="88"/>
      <c r="R9" s="88"/>
      <c r="S9" s="189"/>
      <c r="T9" s="198"/>
      <c r="U9" s="255" t="s">
        <v>167</v>
      </c>
      <c r="V9" s="373">
        <f>Sale!K29</f>
        <v>1563400</v>
      </c>
      <c r="W9" s="376"/>
      <c r="X9" s="3"/>
    </row>
    <row r="10" spans="1:24" ht="12.75">
      <c r="A10" s="11"/>
      <c r="I10" s="11"/>
      <c r="K10" s="191"/>
      <c r="L10" s="192"/>
      <c r="M10" s="193" t="s">
        <v>4</v>
      </c>
      <c r="N10" s="192"/>
      <c r="O10" s="377">
        <f>O8-O9</f>
        <v>3594500</v>
      </c>
      <c r="P10" s="348"/>
      <c r="Q10" s="88"/>
      <c r="R10" s="260"/>
      <c r="S10" s="261"/>
      <c r="T10" s="200"/>
      <c r="U10" s="257" t="s">
        <v>234</v>
      </c>
      <c r="V10" s="373">
        <f>V8-V9</f>
        <v>8596500</v>
      </c>
      <c r="W10" s="376"/>
      <c r="X10" s="3"/>
    </row>
    <row r="11" spans="1:24" ht="12.75">
      <c r="A11" s="11"/>
      <c r="I11" s="11"/>
      <c r="K11" s="88"/>
      <c r="L11" s="88"/>
      <c r="M11" s="329"/>
      <c r="N11" s="88"/>
      <c r="O11" s="330"/>
      <c r="P11" s="278"/>
      <c r="Q11" s="88"/>
      <c r="R11" s="260"/>
      <c r="S11" s="260"/>
      <c r="T11" s="212"/>
      <c r="U11" s="331"/>
      <c r="V11" s="330"/>
      <c r="W11" s="328"/>
      <c r="X11" s="3"/>
    </row>
    <row r="12" spans="1:24" ht="12.75">
      <c r="A12" s="11"/>
      <c r="B12" s="11" t="s">
        <v>239</v>
      </c>
      <c r="I12" s="11"/>
      <c r="Q12" s="258"/>
      <c r="R12" s="259"/>
      <c r="S12" s="12"/>
      <c r="T12" s="12"/>
      <c r="U12" s="7"/>
      <c r="V12" s="6"/>
      <c r="W12" s="8"/>
      <c r="X12" s="3"/>
    </row>
    <row r="13" spans="1:24" ht="12.75">
      <c r="A13" s="3"/>
      <c r="B13" s="3"/>
      <c r="C13" s="9">
        <v>0</v>
      </c>
      <c r="D13" s="9"/>
      <c r="E13" s="10">
        <v>1</v>
      </c>
      <c r="F13" s="10"/>
      <c r="G13" s="10">
        <v>2</v>
      </c>
      <c r="H13" s="10"/>
      <c r="I13" s="10">
        <v>3</v>
      </c>
      <c r="J13" s="10"/>
      <c r="K13" s="10">
        <v>4</v>
      </c>
      <c r="L13" s="10"/>
      <c r="M13" s="10">
        <v>5</v>
      </c>
      <c r="N13" s="10"/>
      <c r="O13" s="10">
        <v>6</v>
      </c>
      <c r="P13" s="171"/>
      <c r="Q13" s="10">
        <v>7</v>
      </c>
      <c r="R13" s="10"/>
      <c r="S13" s="10">
        <v>8</v>
      </c>
      <c r="T13" s="10"/>
      <c r="U13" s="10">
        <v>9</v>
      </c>
      <c r="V13" s="10"/>
      <c r="W13" s="10">
        <v>10</v>
      </c>
      <c r="X13" s="3"/>
    </row>
    <row r="14" spans="2:24" ht="12.75">
      <c r="B14" s="273" t="s">
        <v>19</v>
      </c>
      <c r="C14" s="268"/>
      <c r="D14" s="268"/>
      <c r="E14" s="267">
        <f>ATCF!C43</f>
        <v>339600</v>
      </c>
      <c r="F14" s="267"/>
      <c r="G14" s="267">
        <f>ATCF!E43</f>
        <v>443500</v>
      </c>
      <c r="H14" s="267"/>
      <c r="I14" s="267">
        <f>ATCF!G43</f>
        <v>495000</v>
      </c>
      <c r="J14" s="267"/>
      <c r="K14" s="267">
        <f>ATCF!I43</f>
        <v>450100</v>
      </c>
      <c r="L14" s="267"/>
      <c r="M14" s="267">
        <f>ATCF!K43</f>
        <v>481700</v>
      </c>
      <c r="N14" s="267"/>
      <c r="O14" s="267">
        <f>ATCF!M43</f>
        <v>508500</v>
      </c>
      <c r="P14" s="274"/>
      <c r="Q14" s="267">
        <f>ATCF!O43</f>
        <v>0</v>
      </c>
      <c r="R14" s="267"/>
      <c r="S14" s="267">
        <f>ATCF!Q43</f>
        <v>0</v>
      </c>
      <c r="T14" s="267"/>
      <c r="U14" s="267">
        <f>ATCF!S43</f>
        <v>0</v>
      </c>
      <c r="V14" s="267"/>
      <c r="W14" s="267">
        <f>ATCF!U43</f>
        <v>0</v>
      </c>
      <c r="X14" s="3"/>
    </row>
    <row r="15" spans="2:24" ht="12.75">
      <c r="B15" s="273" t="s">
        <v>20</v>
      </c>
      <c r="C15" s="269"/>
      <c r="D15" s="269"/>
      <c r="E15" s="263">
        <v>0</v>
      </c>
      <c r="F15" s="264"/>
      <c r="G15" s="263">
        <f>IF($O$4=2,$V$10,0)</f>
        <v>0</v>
      </c>
      <c r="H15" s="263"/>
      <c r="I15" s="263">
        <f>IF($O$4=3,$V$10,0)</f>
        <v>0</v>
      </c>
      <c r="J15" s="263"/>
      <c r="K15" s="263">
        <f>IF($O$4=4,$V$10,0)</f>
        <v>0</v>
      </c>
      <c r="L15" s="263"/>
      <c r="M15" s="263">
        <f>IF($O$4=5,$V$10,0)</f>
        <v>0</v>
      </c>
      <c r="N15" s="263"/>
      <c r="O15" s="263">
        <f>IF($O$4=6,$V$10,0)</f>
        <v>8596500</v>
      </c>
      <c r="P15" s="264"/>
      <c r="Q15" s="263">
        <f>IF($O$4=7,$V$10,0)</f>
        <v>0</v>
      </c>
      <c r="R15" s="263"/>
      <c r="S15" s="263">
        <f>IF($O$4=8,$V$10,0)</f>
        <v>0</v>
      </c>
      <c r="T15" s="263"/>
      <c r="U15" s="263">
        <f>IF($O$4=9,$V$10,0)</f>
        <v>0</v>
      </c>
      <c r="V15" s="263"/>
      <c r="W15" s="263">
        <f>IF($O$4=10,$V$10,0)</f>
        <v>0</v>
      </c>
      <c r="X15" s="3"/>
    </row>
    <row r="16" spans="2:24" ht="12.75">
      <c r="B16" s="273" t="s">
        <v>242</v>
      </c>
      <c r="C16" s="268">
        <f>-O10</f>
        <v>-3594500</v>
      </c>
      <c r="D16" s="268"/>
      <c r="E16" s="265">
        <f>E14+E15</f>
        <v>339600</v>
      </c>
      <c r="F16" s="265"/>
      <c r="G16" s="265">
        <f>G14+G15</f>
        <v>443500</v>
      </c>
      <c r="H16" s="265"/>
      <c r="I16" s="265">
        <f>I14+I15</f>
        <v>495000</v>
      </c>
      <c r="J16" s="265"/>
      <c r="K16" s="265">
        <f>K14+K15</f>
        <v>450100</v>
      </c>
      <c r="L16" s="265"/>
      <c r="M16" s="265">
        <f>M14+M15</f>
        <v>481700</v>
      </c>
      <c r="N16" s="265"/>
      <c r="O16" s="265">
        <f>O14+O15</f>
        <v>9105000</v>
      </c>
      <c r="P16" s="266"/>
      <c r="Q16" s="265">
        <f>Q14+Q15</f>
        <v>0</v>
      </c>
      <c r="R16" s="265"/>
      <c r="S16" s="265">
        <f>S14+S15</f>
        <v>0</v>
      </c>
      <c r="T16" s="265"/>
      <c r="U16" s="265">
        <f>U14+U15</f>
        <v>0</v>
      </c>
      <c r="V16" s="265"/>
      <c r="W16" s="265">
        <f>W14+W15</f>
        <v>0</v>
      </c>
      <c r="X16" s="3"/>
    </row>
    <row r="17" spans="2:24" ht="12.75">
      <c r="B17" s="91" t="s">
        <v>223</v>
      </c>
      <c r="C17" s="270">
        <f>C16</f>
        <v>-3594500</v>
      </c>
      <c r="D17" s="270"/>
      <c r="E17" s="270">
        <f>IF(Intro!$E$10&gt;0,C17+E16,0)</f>
        <v>-3254900</v>
      </c>
      <c r="F17" s="270"/>
      <c r="G17" s="270">
        <f>IF(Intro!$E$10&gt;1,E17+G16,0)</f>
        <v>-2811400</v>
      </c>
      <c r="H17" s="270"/>
      <c r="I17" s="270">
        <f>IF(Intro!$E$10&gt;2,G17+I16,0)</f>
        <v>-2316400</v>
      </c>
      <c r="J17" s="270"/>
      <c r="K17" s="270">
        <f>IF(Intro!$E$10&gt;3,I17+K16,0)</f>
        <v>-1866300</v>
      </c>
      <c r="L17" s="270"/>
      <c r="M17" s="270">
        <f>IF(Intro!$E$10&gt;4,K17+M16,0)</f>
        <v>-1384600</v>
      </c>
      <c r="N17" s="270"/>
      <c r="O17" s="270">
        <f>IF(Intro!$E$10&gt;5,M17+O16,0)</f>
        <v>7720400</v>
      </c>
      <c r="P17" s="270"/>
      <c r="Q17" s="270">
        <f>IF(Intro!$E$10&gt;6,O17+Q16,0)</f>
        <v>0</v>
      </c>
      <c r="R17" s="270"/>
      <c r="S17" s="270">
        <f>IF(Intro!$E$10&gt;7,Q17+S16,0)</f>
        <v>0</v>
      </c>
      <c r="T17" s="270"/>
      <c r="U17" s="270">
        <f>IF(Intro!$E$10&gt;8,S17+U16,0)</f>
        <v>0</v>
      </c>
      <c r="V17" s="270"/>
      <c r="W17" s="270">
        <f>IF(Intro!$E$10&gt;9,U17+W16,0)</f>
        <v>0</v>
      </c>
      <c r="X17" s="3"/>
    </row>
    <row r="18" spans="2:24" ht="12.75">
      <c r="B18" s="91" t="s">
        <v>240</v>
      </c>
      <c r="C18" s="271"/>
      <c r="D18" s="271"/>
      <c r="E18" s="272">
        <f>IF(E17&gt;0,0,IF(G17=0,0,E13+E16/G17))</f>
        <v>0.8792060894927793</v>
      </c>
      <c r="F18" s="272"/>
      <c r="G18" s="272">
        <f>IF(G17&gt;0,0,IF(I17=0,0,G13+G16/I17))</f>
        <v>1.8085391124158177</v>
      </c>
      <c r="H18" s="272"/>
      <c r="I18" s="272">
        <f>IF(I17&gt;0,0,IF(K17=0,0,I13+I16/K17))</f>
        <v>2.7347693296897604</v>
      </c>
      <c r="J18" s="272"/>
      <c r="K18" s="272">
        <f>IF(K17&gt;0,0,IF(M17=0,0,K13+K16/M17))</f>
        <v>3.6749241658240646</v>
      </c>
      <c r="L18" s="272"/>
      <c r="M18" s="272">
        <f>IF(M17&gt;0,0,IF(O17=0,0,M13+M16/O17))</f>
        <v>5.0623931402518005</v>
      </c>
      <c r="N18" s="272"/>
      <c r="O18" s="272">
        <f>IF(O17&gt;0,0,IF(Q17=0,0,O13+O16/Q17))</f>
        <v>0</v>
      </c>
      <c r="P18" s="272"/>
      <c r="Q18" s="272">
        <f>IF(Q17&gt;0,0,IF(S17=0,0,Q13+Q16/S17))</f>
        <v>0</v>
      </c>
      <c r="R18" s="272"/>
      <c r="S18" s="272">
        <f>IF(S17&gt;0,0,IF(U17=0,0,S13+S16/U17))</f>
        <v>0</v>
      </c>
      <c r="T18" s="272"/>
      <c r="U18" s="272">
        <f>IF(U17&gt;0,0,IF(W17=0,0,U13+U16/W17))</f>
        <v>0</v>
      </c>
      <c r="V18" s="272"/>
      <c r="W18" s="272"/>
      <c r="X18" s="3"/>
    </row>
    <row r="19" spans="1:24" ht="12.75">
      <c r="A19" s="159"/>
      <c r="B19" s="158"/>
      <c r="C19" s="162"/>
      <c r="D19" s="162"/>
      <c r="E19" s="107"/>
      <c r="F19" s="107"/>
      <c r="H19" s="250"/>
      <c r="I19" s="158"/>
      <c r="J19" s="158"/>
      <c r="N19" s="107"/>
      <c r="P19" s="169"/>
      <c r="Q19" s="107"/>
      <c r="R19" s="107"/>
      <c r="S19" s="14" t="s">
        <v>241</v>
      </c>
      <c r="T19" s="107"/>
      <c r="U19" s="251">
        <f>MAX(E18:W18)</f>
        <v>5.0623931402518005</v>
      </c>
      <c r="V19" s="252" t="s">
        <v>224</v>
      </c>
      <c r="W19" s="249"/>
      <c r="X19" s="88"/>
    </row>
    <row r="20" spans="1:24" ht="12.75">
      <c r="A20" s="159"/>
      <c r="B20" s="158"/>
      <c r="C20" s="162"/>
      <c r="D20" s="162"/>
      <c r="E20" s="107"/>
      <c r="F20" s="107"/>
      <c r="H20" s="250"/>
      <c r="I20" s="158"/>
      <c r="J20" s="158"/>
      <c r="N20" s="107"/>
      <c r="P20" s="169"/>
      <c r="Q20" s="107"/>
      <c r="R20" s="107"/>
      <c r="S20" s="14"/>
      <c r="T20" s="107"/>
      <c r="U20" s="313"/>
      <c r="V20" s="314"/>
      <c r="W20" s="174"/>
      <c r="X20" s="88"/>
    </row>
    <row r="21" spans="1:24" ht="12.75">
      <c r="A21" s="159"/>
      <c r="B21" s="4" t="s">
        <v>243</v>
      </c>
      <c r="C21" s="162"/>
      <c r="D21" s="162"/>
      <c r="E21" s="107"/>
      <c r="F21" s="107"/>
      <c r="P21" s="169"/>
      <c r="Q21" s="107"/>
      <c r="R21" s="107"/>
      <c r="S21" s="107"/>
      <c r="T21" s="107"/>
      <c r="U21" s="169"/>
      <c r="V21" s="169"/>
      <c r="W21" s="214"/>
      <c r="X21" s="88"/>
    </row>
    <row r="22" spans="1:24" ht="12.75">
      <c r="A22" s="159"/>
      <c r="B22" s="158"/>
      <c r="C22" s="162"/>
      <c r="D22" s="162"/>
      <c r="E22" s="57" t="s">
        <v>265</v>
      </c>
      <c r="F22" s="107"/>
      <c r="G22" s="277">
        <v>0.1</v>
      </c>
      <c r="H22" s="107"/>
      <c r="I22" s="57" t="s">
        <v>244</v>
      </c>
      <c r="J22" s="107"/>
      <c r="K22" s="395">
        <f>NPV($G$22,E16,G16,I16,K16,M16,O16,Q16,S16,U16,W16)</f>
        <v>6793214.315510442</v>
      </c>
      <c r="L22" s="350"/>
      <c r="M22" s="337" t="s">
        <v>273</v>
      </c>
      <c r="N22" s="107"/>
      <c r="O22" s="107"/>
      <c r="P22" s="169"/>
      <c r="Q22" s="107"/>
      <c r="R22" s="107"/>
      <c r="S22" s="107"/>
      <c r="T22" s="107"/>
      <c r="U22" s="169"/>
      <c r="V22" s="169"/>
      <c r="W22" s="169"/>
      <c r="X22" s="88"/>
    </row>
    <row r="23" spans="1:24" ht="12.75">
      <c r="A23" s="159"/>
      <c r="B23" s="158"/>
      <c r="C23" s="162"/>
      <c r="D23" s="162"/>
      <c r="E23" s="57"/>
      <c r="F23" s="107"/>
      <c r="G23" s="173"/>
      <c r="H23" s="107"/>
      <c r="I23" s="57"/>
      <c r="J23" s="107"/>
      <c r="K23" s="303"/>
      <c r="L23" s="302"/>
      <c r="M23" s="107"/>
      <c r="N23" s="107"/>
      <c r="O23" s="107"/>
      <c r="P23" s="169"/>
      <c r="Q23" s="107"/>
      <c r="R23" s="107"/>
      <c r="S23" s="107"/>
      <c r="T23" s="107"/>
      <c r="U23" s="169"/>
      <c r="V23" s="169"/>
      <c r="W23" s="169"/>
      <c r="X23" s="88"/>
    </row>
    <row r="24" spans="1:24" ht="12.75">
      <c r="A24" s="159"/>
      <c r="B24" s="158"/>
      <c r="C24" s="162"/>
      <c r="D24" s="162"/>
      <c r="E24" s="57"/>
      <c r="F24" s="107"/>
      <c r="G24" s="173"/>
      <c r="H24" s="107"/>
      <c r="I24" s="57"/>
      <c r="J24" s="107"/>
      <c r="K24" s="303"/>
      <c r="L24" s="302"/>
      <c r="M24" s="107"/>
      <c r="N24" s="107"/>
      <c r="O24" s="107"/>
      <c r="P24" s="169"/>
      <c r="Q24" s="107"/>
      <c r="R24" s="107"/>
      <c r="S24" s="107"/>
      <c r="T24" s="107"/>
      <c r="U24" s="169"/>
      <c r="V24" s="169"/>
      <c r="W24" s="169"/>
      <c r="X24" s="88"/>
    </row>
    <row r="25" spans="1:24" ht="12.75">
      <c r="A25" s="159"/>
      <c r="B25" s="158"/>
      <c r="C25" s="326" t="s">
        <v>262</v>
      </c>
      <c r="D25" s="326"/>
      <c r="E25" s="327"/>
      <c r="F25" s="107"/>
      <c r="G25" s="173"/>
      <c r="H25" s="107"/>
      <c r="I25" s="57"/>
      <c r="J25" s="107"/>
      <c r="K25" s="315" t="s">
        <v>260</v>
      </c>
      <c r="L25" s="302"/>
      <c r="M25" s="107"/>
      <c r="N25" s="107"/>
      <c r="O25" s="161"/>
      <c r="P25" s="319"/>
      <c r="Q25" s="161"/>
      <c r="R25" s="320" t="s">
        <v>261</v>
      </c>
      <c r="S25" s="161"/>
      <c r="T25" s="161"/>
      <c r="U25" s="319"/>
      <c r="V25" s="319"/>
      <c r="W25" s="169"/>
      <c r="X25" s="88"/>
    </row>
    <row r="26" spans="11:24" ht="12.75">
      <c r="K26" s="318" t="s">
        <v>261</v>
      </c>
      <c r="M26" s="38" t="s">
        <v>253</v>
      </c>
      <c r="N26" s="317">
        <f>G28*100</f>
        <v>10</v>
      </c>
      <c r="O26" s="132" t="s">
        <v>252</v>
      </c>
      <c r="P26" s="39"/>
      <c r="Q26" s="39"/>
      <c r="R26" s="39"/>
      <c r="S26" s="39" t="s">
        <v>255</v>
      </c>
      <c r="T26" s="39"/>
      <c r="U26" s="38" t="s">
        <v>254</v>
      </c>
      <c r="V26" s="317">
        <f>G28*100</f>
        <v>10</v>
      </c>
      <c r="W26" s="132" t="s">
        <v>252</v>
      </c>
      <c r="X26" s="88"/>
    </row>
    <row r="27" spans="11:24" ht="4.5" customHeight="1">
      <c r="K27" s="316"/>
      <c r="M27" s="38"/>
      <c r="N27" s="317"/>
      <c r="O27" s="132"/>
      <c r="P27" s="39"/>
      <c r="Q27" s="39"/>
      <c r="R27" s="39"/>
      <c r="S27" s="39"/>
      <c r="T27" s="39"/>
      <c r="U27" s="38"/>
      <c r="V27" s="317"/>
      <c r="W27" s="132"/>
      <c r="X27" s="88"/>
    </row>
    <row r="28" spans="5:24" ht="12.75">
      <c r="E28" s="57" t="s">
        <v>264</v>
      </c>
      <c r="G28" s="277">
        <v>0.1</v>
      </c>
      <c r="K28" s="322">
        <f>K85/$K$22</f>
        <v>0.056133406509980194</v>
      </c>
      <c r="M28" s="306"/>
      <c r="N28" s="321"/>
      <c r="O28" s="98">
        <f>S28-K85</f>
        <v>6411888.054828477</v>
      </c>
      <c r="P28" s="306"/>
      <c r="Q28" s="306"/>
      <c r="R28" s="321"/>
      <c r="S28" s="98">
        <f>K22</f>
        <v>6793214.315510442</v>
      </c>
      <c r="T28" s="306"/>
      <c r="U28" s="306"/>
      <c r="V28" s="321"/>
      <c r="W28" s="98">
        <f>S28+K85</f>
        <v>7174540.576192406</v>
      </c>
      <c r="X28" s="88"/>
    </row>
    <row r="29" spans="5:24" ht="12.75">
      <c r="E29" s="57"/>
      <c r="G29" s="173"/>
      <c r="H29" s="323"/>
      <c r="I29" s="323"/>
      <c r="J29" s="323"/>
      <c r="K29" s="324"/>
      <c r="L29" s="323"/>
      <c r="M29" s="325"/>
      <c r="N29" s="305"/>
      <c r="O29" s="305"/>
      <c r="P29" s="325"/>
      <c r="Q29" s="325"/>
      <c r="R29" s="305"/>
      <c r="S29" s="305"/>
      <c r="T29" s="325"/>
      <c r="U29" s="325"/>
      <c r="V29" s="305"/>
      <c r="W29" s="305"/>
      <c r="X29" s="88"/>
    </row>
    <row r="30" spans="3:24" ht="12.75">
      <c r="C30" s="326" t="s">
        <v>263</v>
      </c>
      <c r="E30" s="57"/>
      <c r="G30" s="173"/>
      <c r="H30" s="323"/>
      <c r="I30" s="323"/>
      <c r="J30" s="323"/>
      <c r="K30" s="324"/>
      <c r="L30" s="323"/>
      <c r="M30" s="38" t="s">
        <v>253</v>
      </c>
      <c r="N30" s="317">
        <f>G32*100</f>
        <v>10</v>
      </c>
      <c r="O30" s="132" t="s">
        <v>252</v>
      </c>
      <c r="P30" s="39"/>
      <c r="Q30" s="39"/>
      <c r="R30" s="39"/>
      <c r="S30" s="39" t="s">
        <v>255</v>
      </c>
      <c r="T30" s="39"/>
      <c r="U30" s="38" t="s">
        <v>254</v>
      </c>
      <c r="V30" s="317">
        <f>G32*100</f>
        <v>10</v>
      </c>
      <c r="W30" s="132" t="s">
        <v>252</v>
      </c>
      <c r="X30" s="88"/>
    </row>
    <row r="31" spans="13:24" ht="4.5" customHeight="1">
      <c r="M31" s="38"/>
      <c r="N31" s="317"/>
      <c r="O31" s="132"/>
      <c r="P31" s="39"/>
      <c r="Q31" s="39"/>
      <c r="R31" s="39"/>
      <c r="S31" s="39"/>
      <c r="T31" s="39"/>
      <c r="U31" s="38"/>
      <c r="V31" s="317"/>
      <c r="W31" s="132"/>
      <c r="X31" s="88"/>
    </row>
    <row r="32" spans="5:24" ht="12.75">
      <c r="E32" s="57" t="s">
        <v>264</v>
      </c>
      <c r="G32" s="277">
        <v>0.1</v>
      </c>
      <c r="K32" s="322">
        <f>K92/$K$22</f>
        <v>0.1405116004571709</v>
      </c>
      <c r="M32" s="306"/>
      <c r="N32" s="321"/>
      <c r="O32" s="98">
        <f>S32-K92</f>
        <v>5838688.899789505</v>
      </c>
      <c r="P32" s="306"/>
      <c r="Q32" s="306"/>
      <c r="R32" s="321"/>
      <c r="S32" s="98">
        <f>K22</f>
        <v>6793214.315510442</v>
      </c>
      <c r="T32" s="306"/>
      <c r="U32" s="306"/>
      <c r="V32" s="321"/>
      <c r="W32" s="98">
        <f>S32+K92</f>
        <v>7747739.731231378</v>
      </c>
      <c r="X32" s="88"/>
    </row>
    <row r="33" spans="21:24" ht="12.75">
      <c r="U33" s="88"/>
      <c r="V33" s="88"/>
      <c r="W33" s="88"/>
      <c r="X33" s="88"/>
    </row>
    <row r="34" spans="21:24" ht="12.75">
      <c r="U34" s="88"/>
      <c r="V34" s="88"/>
      <c r="W34" s="88"/>
      <c r="X34" s="88"/>
    </row>
    <row r="35" spans="21:24" ht="12.75">
      <c r="U35" s="88"/>
      <c r="V35" s="88"/>
      <c r="W35" s="88"/>
      <c r="X35" s="88"/>
    </row>
    <row r="36" spans="21:24" ht="12.75">
      <c r="U36" s="88"/>
      <c r="V36" s="88"/>
      <c r="W36" s="88"/>
      <c r="X36" s="88"/>
    </row>
    <row r="37" spans="21:24" ht="12.75">
      <c r="U37" s="88"/>
      <c r="V37" s="214"/>
      <c r="W37" s="89"/>
      <c r="X37" s="88"/>
    </row>
    <row r="38" spans="21:24" ht="12.75">
      <c r="U38" s="88"/>
      <c r="V38" s="88"/>
      <c r="W38" s="88"/>
      <c r="X38" s="88"/>
    </row>
    <row r="39" spans="2:18" ht="12.75">
      <c r="B39" t="s">
        <v>267</v>
      </c>
      <c r="G39" s="301" t="s">
        <v>250</v>
      </c>
      <c r="Q39" s="29"/>
      <c r="R39" s="29"/>
    </row>
    <row r="40" spans="11:23" ht="12.75" hidden="1">
      <c r="K40" s="186"/>
      <c r="L40" s="187"/>
      <c r="M40" s="187"/>
      <c r="N40" s="281"/>
      <c r="O40" s="282"/>
      <c r="P40" s="187"/>
      <c r="Q40" s="283"/>
      <c r="R40" s="187"/>
      <c r="S40" s="187"/>
      <c r="T40" s="188"/>
      <c r="U40" s="254" t="s">
        <v>172</v>
      </c>
      <c r="V40" s="378">
        <f>$V$4*(1+G32)</f>
        <v>19580000</v>
      </c>
      <c r="W40" s="380"/>
    </row>
    <row r="41" spans="3:23" ht="12.75" hidden="1">
      <c r="C41" s="1" t="s">
        <v>235</v>
      </c>
      <c r="K41" s="189"/>
      <c r="L41" s="183"/>
      <c r="M41" s="279"/>
      <c r="N41" s="183"/>
      <c r="O41" s="280"/>
      <c r="P41" s="183"/>
      <c r="Q41" s="284"/>
      <c r="R41" s="183"/>
      <c r="S41" s="183"/>
      <c r="T41" s="198"/>
      <c r="U41" s="255" t="s">
        <v>171</v>
      </c>
      <c r="V41" s="378">
        <f>$V$40*0.05</f>
        <v>979000</v>
      </c>
      <c r="W41" s="380"/>
    </row>
    <row r="42" spans="11:23" ht="12.75" hidden="1">
      <c r="K42" s="189"/>
      <c r="L42" s="183"/>
      <c r="M42" s="190" t="s">
        <v>0</v>
      </c>
      <c r="N42" s="183"/>
      <c r="O42" s="381">
        <f>$O$6</f>
        <v>11444500</v>
      </c>
      <c r="P42" s="393"/>
      <c r="Q42" s="284"/>
      <c r="R42" s="183"/>
      <c r="S42" s="183"/>
      <c r="T42" s="190"/>
      <c r="U42" s="256" t="s">
        <v>232</v>
      </c>
      <c r="V42" s="378">
        <f>V40-V41</f>
        <v>18601000</v>
      </c>
      <c r="W42" s="380"/>
    </row>
    <row r="43" spans="3:23" ht="12.75" hidden="1">
      <c r="C43" t="s">
        <v>251</v>
      </c>
      <c r="K43" s="189"/>
      <c r="L43" s="183"/>
      <c r="M43" s="190" t="s">
        <v>129</v>
      </c>
      <c r="N43" s="184"/>
      <c r="O43" s="378">
        <f>$O$7</f>
        <v>150000</v>
      </c>
      <c r="P43" s="391"/>
      <c r="Q43" s="284"/>
      <c r="R43" s="183"/>
      <c r="S43" s="183"/>
      <c r="T43" s="198"/>
      <c r="U43" s="255" t="s">
        <v>169</v>
      </c>
      <c r="V43" s="378">
        <f>$V$7</f>
        <v>6750100</v>
      </c>
      <c r="W43" s="380"/>
    </row>
    <row r="44" spans="11:23" ht="12.75" hidden="1">
      <c r="K44" s="189"/>
      <c r="L44" s="183"/>
      <c r="M44" s="190" t="s">
        <v>164</v>
      </c>
      <c r="N44" s="185"/>
      <c r="O44" s="378">
        <f>$O$8</f>
        <v>11594500</v>
      </c>
      <c r="P44" s="391"/>
      <c r="Q44" s="183"/>
      <c r="R44" s="183"/>
      <c r="S44" s="183"/>
      <c r="T44" s="190"/>
      <c r="U44" s="256" t="s">
        <v>233</v>
      </c>
      <c r="V44" s="378">
        <f>V42-V43</f>
        <v>11850900</v>
      </c>
      <c r="W44" s="380"/>
    </row>
    <row r="45" spans="3:23" ht="12.75" hidden="1">
      <c r="C45" s="301" t="s">
        <v>250</v>
      </c>
      <c r="K45" s="189"/>
      <c r="L45" s="183"/>
      <c r="M45" s="190" t="s">
        <v>165</v>
      </c>
      <c r="N45" s="184"/>
      <c r="O45" s="378">
        <f>$O$9</f>
        <v>8000000</v>
      </c>
      <c r="P45" s="391"/>
      <c r="Q45" s="183"/>
      <c r="R45" s="183"/>
      <c r="S45" s="183"/>
      <c r="T45" s="198"/>
      <c r="U45" s="255" t="s">
        <v>167</v>
      </c>
      <c r="V45" s="378">
        <f>$V$9</f>
        <v>1563400</v>
      </c>
      <c r="W45" s="380"/>
    </row>
    <row r="46" spans="11:23" ht="12.75" hidden="1">
      <c r="K46" s="191"/>
      <c r="L46" s="192"/>
      <c r="M46" s="193" t="s">
        <v>4</v>
      </c>
      <c r="N46" s="192"/>
      <c r="O46" s="377">
        <f>$O$10</f>
        <v>3594500</v>
      </c>
      <c r="P46" s="392"/>
      <c r="Q46" s="192"/>
      <c r="R46" s="199"/>
      <c r="S46" s="199"/>
      <c r="T46" s="200"/>
      <c r="U46" s="257" t="s">
        <v>234</v>
      </c>
      <c r="V46" s="377">
        <f>V44-V45</f>
        <v>10287500</v>
      </c>
      <c r="W46" s="388"/>
    </row>
    <row r="47" spans="17:18" ht="12.75" hidden="1">
      <c r="Q47" s="29"/>
      <c r="R47" s="29"/>
    </row>
    <row r="48" spans="3:23" ht="12.75" hidden="1">
      <c r="C48" s="186"/>
      <c r="D48" s="292"/>
      <c r="E48" s="292"/>
      <c r="F48" s="293" t="s">
        <v>15</v>
      </c>
      <c r="G48" s="187"/>
      <c r="H48" s="294"/>
      <c r="I48" s="281" t="s">
        <v>108</v>
      </c>
      <c r="J48" s="187"/>
      <c r="K48" s="187"/>
      <c r="L48" s="187"/>
      <c r="M48" s="281" t="s">
        <v>109</v>
      </c>
      <c r="N48" s="187"/>
      <c r="O48" s="187"/>
      <c r="P48" s="187"/>
      <c r="Q48" s="281" t="s">
        <v>111</v>
      </c>
      <c r="R48" s="187"/>
      <c r="S48" s="187"/>
      <c r="T48" s="187"/>
      <c r="U48" s="281" t="s">
        <v>247</v>
      </c>
      <c r="V48" s="187"/>
      <c r="W48" s="295"/>
    </row>
    <row r="49" spans="3:23" ht="12.75" hidden="1">
      <c r="C49" s="191"/>
      <c r="D49" s="296"/>
      <c r="E49" s="385">
        <f>ATCF!C7</f>
        <v>0.4</v>
      </c>
      <c r="F49" s="386"/>
      <c r="G49" s="192"/>
      <c r="H49" s="387">
        <f>ATCF!F9</f>
        <v>9300000</v>
      </c>
      <c r="I49" s="388"/>
      <c r="J49" s="297"/>
      <c r="K49" s="298" t="s">
        <v>94</v>
      </c>
      <c r="L49" s="389">
        <f>ATCF!J9</f>
        <v>27.5</v>
      </c>
      <c r="M49" s="390"/>
      <c r="N49" s="192"/>
      <c r="O49" s="299" t="s">
        <v>91</v>
      </c>
      <c r="P49" s="383">
        <f>ROUND((H49/L49)/1000,1)*1000</f>
        <v>338200</v>
      </c>
      <c r="Q49" s="384"/>
      <c r="R49" s="192"/>
      <c r="S49" s="192"/>
      <c r="T49" s="383">
        <f>ROUND((P49*11.5/12)/1000,1)*1000</f>
        <v>324100</v>
      </c>
      <c r="U49" s="384"/>
      <c r="V49" s="192"/>
      <c r="W49" s="300"/>
    </row>
    <row r="50" spans="4:20" ht="12.75" hidden="1">
      <c r="D50" s="67"/>
      <c r="E50" s="67"/>
      <c r="F50" s="67"/>
      <c r="H50" s="44"/>
      <c r="T50" s="114"/>
    </row>
    <row r="51" spans="4:23" ht="12.75" hidden="1">
      <c r="D51" s="1"/>
      <c r="E51" s="45">
        <v>1</v>
      </c>
      <c r="F51" s="46"/>
      <c r="G51" s="45">
        <v>2</v>
      </c>
      <c r="H51" s="46"/>
      <c r="I51" s="45">
        <v>3</v>
      </c>
      <c r="J51" s="46"/>
      <c r="K51" s="45">
        <v>4</v>
      </c>
      <c r="L51" s="46"/>
      <c r="M51" s="45">
        <v>5</v>
      </c>
      <c r="N51" s="46"/>
      <c r="O51" s="45">
        <v>6</v>
      </c>
      <c r="P51" s="46"/>
      <c r="Q51" s="45">
        <v>7</v>
      </c>
      <c r="R51" s="46"/>
      <c r="S51" s="45">
        <v>8</v>
      </c>
      <c r="T51" s="46"/>
      <c r="U51" s="45">
        <v>9</v>
      </c>
      <c r="V51" s="46"/>
      <c r="W51" s="45">
        <v>10</v>
      </c>
    </row>
    <row r="52" spans="4:23" ht="12.75" hidden="1">
      <c r="D52" s="71" t="s">
        <v>23</v>
      </c>
      <c r="E52" s="49">
        <f>Intro!O30</f>
        <v>2346100</v>
      </c>
      <c r="F52" s="50"/>
      <c r="G52" s="51">
        <f>IF(Intro!$E$10&gt;1,ROUND((E52*(1+Intro!G21))/1000,1)*1000,0)</f>
        <v>2463400</v>
      </c>
      <c r="H52" s="52"/>
      <c r="I52" s="51">
        <f>IF(Intro!$E$10&gt;2,ROUND((G52*(1+Intro!H21))/1000,1)*1000,0)</f>
        <v>2586600</v>
      </c>
      <c r="J52" s="52"/>
      <c r="K52" s="51">
        <f>IF(Intro!$E$10&gt;3,ROUND((I52*(1+Intro!I21))/1000,1)*1000,0)</f>
        <v>2677100</v>
      </c>
      <c r="L52" s="52"/>
      <c r="M52" s="51">
        <f>IF(Intro!$E$10&gt;4,ROUND((K52*(1+Intro!J21))/1000,1)*1000,0)</f>
        <v>2770800</v>
      </c>
      <c r="N52" s="52"/>
      <c r="O52" s="51">
        <f>IF(Intro!$E$10&gt;5,ROUND((M52*(1+Intro!K21))/1000,1)*1000,0)</f>
        <v>2867800</v>
      </c>
      <c r="P52" s="52"/>
      <c r="Q52" s="51">
        <f>IF(Intro!$E$10&gt;6,ROUND((O52*(1+Intro!L21))/1000,1)*1000,0)</f>
        <v>0</v>
      </c>
      <c r="R52" s="52"/>
      <c r="S52" s="51">
        <f>IF(Intro!$E$10&gt;7,ROUND((Q52*(1+Intro!M21))/1000,1)*1000,0)</f>
        <v>0</v>
      </c>
      <c r="T52" s="52"/>
      <c r="U52" s="51">
        <f>IF(Intro!$E$10&gt;8,ROUND((S52*(1+Intro!N21))/1000,1)*1000,0)</f>
        <v>0</v>
      </c>
      <c r="V52" s="52"/>
      <c r="W52" s="51">
        <f>IF(Intro!$E$10&gt;9,ROUND((U52*(1+Intro!O21))/1000,1)*1000,0)</f>
        <v>0</v>
      </c>
    </row>
    <row r="53" spans="4:23" ht="12.75" hidden="1">
      <c r="D53" s="71" t="s">
        <v>47</v>
      </c>
      <c r="E53" s="53">
        <f>ROUND((Intro!G25*E52)/1000,1)*1000</f>
        <v>176000</v>
      </c>
      <c r="F53" s="54"/>
      <c r="G53" s="53">
        <f>ROUND((Intro!H25*G52)/1000,1)*1000</f>
        <v>98500</v>
      </c>
      <c r="H53" s="54"/>
      <c r="I53" s="53">
        <f>ROUND((Intro!I25*I52)/1000,1)*1000</f>
        <v>103500</v>
      </c>
      <c r="J53" s="54"/>
      <c r="K53" s="53">
        <f>ROUND((Intro!J25*K52)/1000,1)*1000</f>
        <v>160600</v>
      </c>
      <c r="L53" s="54"/>
      <c r="M53" s="53">
        <f>ROUND((Intro!K25*M52)/1000,1)*1000</f>
        <v>166200</v>
      </c>
      <c r="N53" s="54"/>
      <c r="O53" s="53">
        <f>ROUND((Intro!L25*O52)/1000,1)*1000</f>
        <v>172100</v>
      </c>
      <c r="P53" s="54"/>
      <c r="Q53" s="53">
        <f>ROUND((Intro!M25*Q52)/1000,1)*1000</f>
        <v>0</v>
      </c>
      <c r="R53" s="54"/>
      <c r="S53" s="53">
        <f>ROUND((Intro!N25*S52)/1000,1)*1000</f>
        <v>0</v>
      </c>
      <c r="T53" s="54"/>
      <c r="U53" s="53">
        <f>ROUND((Intro!O25*U52)/1000,1)*1000</f>
        <v>0</v>
      </c>
      <c r="V53" s="54"/>
      <c r="W53" s="53">
        <f>ROUND((Intro!P25*W52)/1000,1)*1000</f>
        <v>0</v>
      </c>
    </row>
    <row r="54" spans="4:23" ht="12.75" hidden="1">
      <c r="D54" s="38"/>
      <c r="E54" s="52">
        <f>E52-E53</f>
        <v>2170100</v>
      </c>
      <c r="F54" s="52"/>
      <c r="G54" s="52">
        <f>G52-G53</f>
        <v>2364900</v>
      </c>
      <c r="H54" s="52"/>
      <c r="I54" s="52">
        <f>I52-I53</f>
        <v>2483100</v>
      </c>
      <c r="J54" s="52"/>
      <c r="K54" s="52">
        <f>K52-K53</f>
        <v>2516500</v>
      </c>
      <c r="L54" s="52"/>
      <c r="M54" s="52">
        <f>M52-M53</f>
        <v>2604600</v>
      </c>
      <c r="N54" s="52"/>
      <c r="O54" s="52">
        <f>O52-O53</f>
        <v>2695700</v>
      </c>
      <c r="P54" s="52"/>
      <c r="Q54" s="52">
        <f>Q52-Q53</f>
        <v>0</v>
      </c>
      <c r="R54" s="52"/>
      <c r="S54" s="52">
        <f>S52-S53</f>
        <v>0</v>
      </c>
      <c r="T54" s="52"/>
      <c r="U54" s="52">
        <f>U52-U53</f>
        <v>0</v>
      </c>
      <c r="V54" s="52"/>
      <c r="W54" s="52">
        <f>W52-W53</f>
        <v>0</v>
      </c>
    </row>
    <row r="55" spans="4:23" ht="12.75" hidden="1">
      <c r="D55" s="71" t="s">
        <v>48</v>
      </c>
      <c r="E55" s="55">
        <f>ROUND((E54*Intro!$F$28)/1000,1)*1000</f>
        <v>102000</v>
      </c>
      <c r="F55" s="50"/>
      <c r="G55" s="55">
        <f>ROUND((G54*Intro!$F$28)/1000,1)*1000</f>
        <v>111200</v>
      </c>
      <c r="H55" s="50"/>
      <c r="I55" s="55">
        <f>ROUND((I54*Intro!$F$28)/1000,1)*1000</f>
        <v>116700</v>
      </c>
      <c r="J55" s="50"/>
      <c r="K55" s="55">
        <f>ROUND((K54*Intro!$F$28)/1000,1)*1000</f>
        <v>118300</v>
      </c>
      <c r="L55" s="50"/>
      <c r="M55" s="55">
        <f>ROUND((M54*Intro!$F$28)/1000,1)*1000</f>
        <v>122400</v>
      </c>
      <c r="N55" s="50"/>
      <c r="O55" s="55">
        <f>ROUND((O54*Intro!$F$28)/1000,1)*1000</f>
        <v>126700</v>
      </c>
      <c r="P55" s="50"/>
      <c r="Q55" s="55">
        <f>ROUND((Q54*Intro!$F$28)/1000,1)*1000</f>
        <v>0</v>
      </c>
      <c r="R55" s="50"/>
      <c r="S55" s="55">
        <f>ROUND((S54*Intro!$F$28)/1000,1)*1000</f>
        <v>0</v>
      </c>
      <c r="T55" s="50"/>
      <c r="U55" s="55">
        <f>ROUND((U54*Intro!$F$28)/1000,1)*1000</f>
        <v>0</v>
      </c>
      <c r="V55" s="50"/>
      <c r="W55" s="55">
        <f>ROUND((W54*Intro!$F$28)/1000,1)*1000</f>
        <v>0</v>
      </c>
    </row>
    <row r="56" spans="4:23" ht="12.75" hidden="1">
      <c r="D56" s="71" t="s">
        <v>46</v>
      </c>
      <c r="E56" s="57">
        <f>E54+E55</f>
        <v>2272100</v>
      </c>
      <c r="F56" s="57"/>
      <c r="G56" s="57">
        <f>G54+G55</f>
        <v>2476100</v>
      </c>
      <c r="H56" s="57"/>
      <c r="I56" s="57">
        <f>I54+I55</f>
        <v>2599800</v>
      </c>
      <c r="J56" s="57"/>
      <c r="K56" s="57">
        <f>K54+K55</f>
        <v>2634800</v>
      </c>
      <c r="L56" s="57"/>
      <c r="M56" s="57">
        <f>M54+M55</f>
        <v>2727000</v>
      </c>
      <c r="N56" s="57"/>
      <c r="O56" s="57">
        <f>O54+O55</f>
        <v>2822400</v>
      </c>
      <c r="P56" s="57"/>
      <c r="Q56" s="57">
        <f>Q54+Q55</f>
        <v>0</v>
      </c>
      <c r="R56" s="57"/>
      <c r="S56" s="57">
        <f>S54+S55</f>
        <v>0</v>
      </c>
      <c r="T56" s="57"/>
      <c r="U56" s="57">
        <f>U54+U55</f>
        <v>0</v>
      </c>
      <c r="V56" s="57"/>
      <c r="W56" s="57">
        <f>W54+W55</f>
        <v>0</v>
      </c>
    </row>
    <row r="57" spans="4:23" ht="12.75" hidden="1">
      <c r="D57" s="33"/>
      <c r="E57" s="39"/>
      <c r="F57" s="56"/>
      <c r="G57" s="39"/>
      <c r="H57" s="56"/>
      <c r="I57" s="39"/>
      <c r="J57" s="56"/>
      <c r="K57" s="39"/>
      <c r="L57" s="56"/>
      <c r="M57" s="39"/>
      <c r="N57" s="56"/>
      <c r="O57" s="39"/>
      <c r="P57" s="56"/>
      <c r="Q57" s="39"/>
      <c r="R57" s="56"/>
      <c r="S57" s="39"/>
      <c r="T57" s="56"/>
      <c r="U57" s="39"/>
      <c r="V57" s="56"/>
      <c r="W57" s="39"/>
    </row>
    <row r="58" spans="4:23" ht="12.75" hidden="1">
      <c r="D58" s="71" t="s">
        <v>49</v>
      </c>
      <c r="E58" s="49">
        <f>Expenses!K22</f>
        <v>113600</v>
      </c>
      <c r="F58" s="50"/>
      <c r="G58" s="60">
        <f>ROUND((G56*Expenses!$L$7)/1000,1)*1000</f>
        <v>123800</v>
      </c>
      <c r="H58" s="80"/>
      <c r="I58" s="60">
        <f>ROUND((I56*Expenses!$L$7)/1000,1)*1000</f>
        <v>130000</v>
      </c>
      <c r="J58" s="80"/>
      <c r="K58" s="60">
        <f>ROUND((K56*Expenses!$L$7)/1000,1)*1000</f>
        <v>131700</v>
      </c>
      <c r="L58" s="80"/>
      <c r="M58" s="60">
        <f>ROUND((M56*Expenses!$L$7)/1000,1)*1000</f>
        <v>136400</v>
      </c>
      <c r="N58" s="80"/>
      <c r="O58" s="60">
        <f>ROUND((O56*Expenses!$L$7)/1000,1)*1000</f>
        <v>141100</v>
      </c>
      <c r="P58" s="80"/>
      <c r="Q58" s="60">
        <f>ROUND((Q56*Expenses!$L$7)/1000,1)*1000</f>
        <v>0</v>
      </c>
      <c r="R58" s="80"/>
      <c r="S58" s="60">
        <f>ROUND((S56*Expenses!$L$7)/1000,1)*1000</f>
        <v>0</v>
      </c>
      <c r="T58" s="80"/>
      <c r="U58" s="60">
        <f>ROUND((U56*Expenses!$L$7)/1000,1)*1000</f>
        <v>0</v>
      </c>
      <c r="V58" s="80"/>
      <c r="W58" s="60">
        <f>ROUND((W56*Expenses!$L$7)/1000,1)*1000</f>
        <v>0</v>
      </c>
    </row>
    <row r="59" spans="4:23" ht="12.75" hidden="1">
      <c r="D59" s="71" t="s">
        <v>50</v>
      </c>
      <c r="E59" s="49">
        <f>Expenses!K23</f>
        <v>204000</v>
      </c>
      <c r="F59" s="50"/>
      <c r="G59" s="60">
        <f>IF(Intro!$E$10&gt;1,ROUND((E59*(1+Expenses!$F$7))/1000,1)*1000,0)</f>
        <v>211100</v>
      </c>
      <c r="H59" s="80"/>
      <c r="I59" s="60">
        <f>IF(Intro!$E$10&gt;2,ROUND((G59*(1+Expenses!$F$7))/1000,1)*1000,0)</f>
        <v>218500</v>
      </c>
      <c r="J59" s="80"/>
      <c r="K59" s="60">
        <f>IF(Intro!$E$10&gt;3,ROUND((I59*(1+Expenses!$F$7))/1000,1)*1000,0)</f>
        <v>226100</v>
      </c>
      <c r="L59" s="80"/>
      <c r="M59" s="60">
        <f>IF(Intro!$E$10&gt;4,ROUND((K59*(1+Expenses!$F$7))/1000,1)*1000,0)</f>
        <v>234000</v>
      </c>
      <c r="N59" s="80"/>
      <c r="O59" s="60">
        <f>IF(Intro!$E$10&gt;5,ROUND((M59*(1+Expenses!$F$7))/1000,1)*1000,0)</f>
        <v>242200</v>
      </c>
      <c r="P59" s="80"/>
      <c r="Q59" s="60">
        <f>IF(Intro!$E$10&gt;6,ROUND((O59*(1+Expenses!$F$7))/1000,1)*1000,0)</f>
        <v>0</v>
      </c>
      <c r="R59" s="80"/>
      <c r="S59" s="60">
        <f>IF(Intro!$E$10&gt;77,ROUND((Q59*(1+Expenses!$F$7))/1000,1)*1000,0)</f>
        <v>0</v>
      </c>
      <c r="T59" s="80"/>
      <c r="U59" s="60">
        <f>IF(Intro!$E$10&gt;8,ROUND((S59*(1+Expenses!$F$7))/1000,1)*1000,0)</f>
        <v>0</v>
      </c>
      <c r="V59" s="80"/>
      <c r="W59" s="60">
        <f>IF(Intro!$E$10&gt;9,ROUND((U59*(1+Expenses!$F$7))/1000,1)*1000,0)</f>
        <v>0</v>
      </c>
    </row>
    <row r="60" spans="4:23" ht="12.75" hidden="1">
      <c r="D60" s="71" t="s">
        <v>51</v>
      </c>
      <c r="E60" s="49">
        <f>Expenses!K24</f>
        <v>109000</v>
      </c>
      <c r="F60" s="50"/>
      <c r="G60" s="60">
        <f>IF(Intro!$E$10&gt;1,ROUND((E60*(1+Expenses!$F$7))/1000,1)*1000,0)</f>
        <v>112800</v>
      </c>
      <c r="H60" s="50"/>
      <c r="I60" s="60">
        <f>IF(Intro!$E$10&gt;2,ROUND((G60*(1+Expenses!$F$7))/1000,1)*1000,0)</f>
        <v>116700</v>
      </c>
      <c r="J60" s="50"/>
      <c r="K60" s="60">
        <f>IF(Intro!$E$10&gt;3,ROUND((I60*(1+Expenses!$F$7))/1000,1)*1000,0)</f>
        <v>120800</v>
      </c>
      <c r="L60" s="50"/>
      <c r="M60" s="60">
        <f>IF(Intro!$E$10&gt;4,ROUND((K60*(1+Expenses!$F$7))/1000,1)*1000,0)</f>
        <v>125000</v>
      </c>
      <c r="N60" s="80"/>
      <c r="O60" s="60">
        <f>IF(Intro!$E$10&gt;5,ROUND((M60*(1+Expenses!$F$7))/1000,1)*1000,0)</f>
        <v>129400</v>
      </c>
      <c r="P60" s="50"/>
      <c r="Q60" s="60">
        <f>IF(Intro!$E$10&gt;6,ROUND((O60*(1+Expenses!$F$7))/1000,1)*1000,0)</f>
        <v>0</v>
      </c>
      <c r="R60" s="50"/>
      <c r="S60" s="60">
        <f>IF(Intro!$E$10&gt;77,ROUND((Q60*(1+Expenses!$F$7))/1000,1)*1000,0)</f>
        <v>0</v>
      </c>
      <c r="T60" s="50"/>
      <c r="U60" s="60">
        <f>IF(Intro!$E$10&gt;8,ROUND((S60*(1+Expenses!$F$7))/1000,1)*1000,0)</f>
        <v>0</v>
      </c>
      <c r="V60" s="50"/>
      <c r="W60" s="60">
        <f>IF(Intro!$E$10&gt;9,ROUND((U60*(1+Expenses!$F$7))/1000,1)*1000,0)</f>
        <v>0</v>
      </c>
    </row>
    <row r="61" spans="4:23" ht="12.75" hidden="1">
      <c r="D61" s="71" t="s">
        <v>52</v>
      </c>
      <c r="E61" s="49">
        <f>Expenses!K25</f>
        <v>36700</v>
      </c>
      <c r="F61" s="50"/>
      <c r="G61" s="60">
        <f>IF(Intro!$E$10&gt;1,ROUND((E61*(1+Expenses!$F$7))/1000,1)*1000,0)</f>
        <v>38000</v>
      </c>
      <c r="H61" s="50"/>
      <c r="I61" s="60">
        <f>IF(Intro!$E$10&gt;2,ROUND((G61*(1+Expenses!$F$7))/1000,1)*1000,0)</f>
        <v>39300</v>
      </c>
      <c r="J61" s="50"/>
      <c r="K61" s="60">
        <f>IF(Intro!$E$10&gt;3,ROUND((I61*(1+Expenses!$F$7))/1000,1)*1000,0)</f>
        <v>40700</v>
      </c>
      <c r="L61" s="50"/>
      <c r="M61" s="60">
        <f>IF(Intro!$E$10&gt;4,ROUND((K61*(1+Expenses!$F$7))/1000,1)*1000,0)</f>
        <v>42100</v>
      </c>
      <c r="N61" s="80"/>
      <c r="O61" s="60">
        <f>IF(Intro!$E$10&gt;5,ROUND((M61*(1+Expenses!$F$7))/1000,1)*1000,0)</f>
        <v>43600</v>
      </c>
      <c r="P61" s="50"/>
      <c r="Q61" s="60">
        <f>IF(Intro!$E$10&gt;6,ROUND((O61*(1+Expenses!$F$7))/1000,1)*1000,0)</f>
        <v>0</v>
      </c>
      <c r="R61" s="50"/>
      <c r="S61" s="60">
        <f>IF(Intro!$E$10&gt;77,ROUND((Q61*(1+Expenses!$F$7))/1000,1)*1000,0)</f>
        <v>0</v>
      </c>
      <c r="T61" s="50"/>
      <c r="U61" s="60">
        <f>IF(Intro!$E$10&gt;8,ROUND((S61*(1+Expenses!$F$7))/1000,1)*1000,0)</f>
        <v>0</v>
      </c>
      <c r="V61" s="50"/>
      <c r="W61" s="60">
        <f>IF(Intro!$E$10&gt;9,ROUND((U61*(1+Expenses!$F$7))/1000,1)*1000,0)</f>
        <v>0</v>
      </c>
    </row>
    <row r="62" spans="4:23" ht="12.75" hidden="1">
      <c r="D62" s="71" t="s">
        <v>53</v>
      </c>
      <c r="E62" s="49">
        <f>Expenses!K26</f>
        <v>21700</v>
      </c>
      <c r="F62" s="50"/>
      <c r="G62" s="60">
        <f>IF(Intro!$E$10&gt;1,ROUND((E62*(1+Expenses!$F$7))/1000,1)*1000,0)</f>
        <v>22500</v>
      </c>
      <c r="H62" s="50"/>
      <c r="I62" s="60">
        <f>IF(Intro!$E$10&gt;2,ROUND((G62*(1+Expenses!$F$7))/1000,1)*1000,0)</f>
        <v>23300</v>
      </c>
      <c r="J62" s="50"/>
      <c r="K62" s="60">
        <f>IF(Intro!$E$10&gt;3,ROUND((I62*(1+Expenses!$F$7))/1000,1)*1000,0)</f>
        <v>24100</v>
      </c>
      <c r="L62" s="50"/>
      <c r="M62" s="60">
        <f>IF(Intro!$E$10&gt;4,ROUND((K62*(1+Expenses!$F$7))/1000,1)*1000,0)</f>
        <v>24900</v>
      </c>
      <c r="N62" s="80"/>
      <c r="O62" s="60">
        <f>IF(Intro!$E$10&gt;5,ROUND((M62*(1+Expenses!$F$7))/1000,1)*1000,0)</f>
        <v>25800</v>
      </c>
      <c r="P62" s="50"/>
      <c r="Q62" s="60">
        <f>IF(Intro!$E$10&gt;6,ROUND((O62*(1+Expenses!$F$7))/1000,1)*1000,0)</f>
        <v>0</v>
      </c>
      <c r="R62" s="50"/>
      <c r="S62" s="60">
        <f>IF(Intro!$E$10&gt;77,ROUND((Q62*(1+Expenses!$F$7))/1000,1)*1000,0)</f>
        <v>0</v>
      </c>
      <c r="T62" s="50"/>
      <c r="U62" s="60">
        <f>IF(Intro!$E$10&gt;8,ROUND((S62*(1+Expenses!$F$7))/1000,1)*1000,0)</f>
        <v>0</v>
      </c>
      <c r="V62" s="50"/>
      <c r="W62" s="60">
        <f>IF(Intro!$E$10&gt;9,ROUND((U62*(1+Expenses!$F$7))/1000,1)*1000,0)</f>
        <v>0</v>
      </c>
    </row>
    <row r="63" spans="4:23" ht="12.75" hidden="1">
      <c r="D63" s="71" t="s">
        <v>54</v>
      </c>
      <c r="E63" s="49">
        <f>Expenses!K27</f>
        <v>33100</v>
      </c>
      <c r="F63" s="50"/>
      <c r="G63" s="60">
        <f>IF(Intro!$E$10&gt;1,ROUND((E63*(1+Expenses!$F$7))/1000,1)*1000,0)</f>
        <v>34300</v>
      </c>
      <c r="H63" s="50"/>
      <c r="I63" s="60">
        <f>IF(Intro!$E$10&gt;2,ROUND((G63*(1+Expenses!$F$7))/1000,1)*1000,0)</f>
        <v>35500</v>
      </c>
      <c r="J63" s="50"/>
      <c r="K63" s="60">
        <f>IF(Intro!$E$10&gt;3,ROUND((I63*(1+Expenses!$F$7))/1000,1)*1000,0)</f>
        <v>36700</v>
      </c>
      <c r="L63" s="50"/>
      <c r="M63" s="60">
        <f>IF(Intro!$E$10&gt;4,ROUND((K63*(1+Expenses!$F$7))/1000,1)*1000,0)</f>
        <v>38000</v>
      </c>
      <c r="N63" s="80"/>
      <c r="O63" s="60">
        <f>IF(Intro!$E$10&gt;5,ROUND((M63*(1+Expenses!$F$7))/1000,1)*1000,0)</f>
        <v>39300</v>
      </c>
      <c r="P63" s="50"/>
      <c r="Q63" s="60">
        <f>IF(Intro!$E$10&gt;6,ROUND((O63*(1+Expenses!$F$7))/1000,1)*1000,0)</f>
        <v>0</v>
      </c>
      <c r="R63" s="50"/>
      <c r="S63" s="60">
        <f>IF(Intro!$E$10&gt;77,ROUND((Q63*(1+Expenses!$F$7))/1000,1)*1000,0)</f>
        <v>0</v>
      </c>
      <c r="T63" s="50"/>
      <c r="U63" s="60">
        <f>IF(Intro!$E$10&gt;8,ROUND((S63*(1+Expenses!$F$7))/1000,1)*1000,0)</f>
        <v>0</v>
      </c>
      <c r="V63" s="50"/>
      <c r="W63" s="60">
        <f>IF(Intro!$E$10&gt;9,ROUND((U63*(1+Expenses!$F$7))/1000,1)*1000,0)</f>
        <v>0</v>
      </c>
    </row>
    <row r="64" spans="4:23" ht="12.75" hidden="1">
      <c r="D64" s="71" t="s">
        <v>55</v>
      </c>
      <c r="E64" s="49">
        <f>Expenses!K28</f>
        <v>188300</v>
      </c>
      <c r="F64" s="50"/>
      <c r="G64" s="60">
        <f>IF(Intro!$E$10&gt;1,ROUND((E64*(1+Expenses!$F$7))/1000,1)*1000,0)</f>
        <v>194900</v>
      </c>
      <c r="H64" s="50"/>
      <c r="I64" s="60">
        <f>IF(Intro!$E$10&gt;2,ROUND((G64*(1+Expenses!$F$7))/1000,1)*1000,0)</f>
        <v>201700</v>
      </c>
      <c r="J64" s="50"/>
      <c r="K64" s="60">
        <f>IF(Intro!$E$10&gt;3,ROUND((I64*(1+Expenses!$F$7))/1000,1)*1000,0)</f>
        <v>208800</v>
      </c>
      <c r="L64" s="50"/>
      <c r="M64" s="60">
        <f>IF(Intro!$E$10&gt;4,ROUND((K64*(1+Expenses!$F$7))/1000,1)*1000,0)</f>
        <v>216100</v>
      </c>
      <c r="N64" s="80"/>
      <c r="O64" s="60">
        <f>IF(Intro!$E$10&gt;5,ROUND((M64*(1+Expenses!$F$7))/1000,1)*1000,0)</f>
        <v>223700</v>
      </c>
      <c r="P64" s="50"/>
      <c r="Q64" s="60">
        <f>IF(Intro!$E$10&gt;6,ROUND((O64*(1+Expenses!$F$7))/1000,1)*1000,0)</f>
        <v>0</v>
      </c>
      <c r="R64" s="50"/>
      <c r="S64" s="60">
        <f>IF(Intro!$E$10&gt;77,ROUND((Q64*(1+Expenses!$F$7))/1000,1)*1000,0)</f>
        <v>0</v>
      </c>
      <c r="T64" s="50"/>
      <c r="U64" s="60">
        <f>IF(Intro!$E$10&gt;8,ROUND((S64*(1+Expenses!$F$7))/1000,1)*1000,0)</f>
        <v>0</v>
      </c>
      <c r="V64" s="50"/>
      <c r="W64" s="60">
        <f>IF(Intro!$E$10&gt;9,ROUND((U64*(1+Expenses!$F$7))/1000,1)*1000,0)</f>
        <v>0</v>
      </c>
    </row>
    <row r="65" spans="4:23" ht="12.75" hidden="1">
      <c r="D65" s="71" t="s">
        <v>56</v>
      </c>
      <c r="E65" s="55">
        <f>Expenses!K29</f>
        <v>300000</v>
      </c>
      <c r="F65" s="50"/>
      <c r="G65" s="61">
        <f>IF(Intro!$E$10&gt;1,ROUND((E65*(1+Expenses!G10))/1000,1)*1000,0)</f>
        <v>300000</v>
      </c>
      <c r="H65" s="80"/>
      <c r="I65" s="61">
        <f>IF(Intro!$E$10&gt;2,ROUND((G65*(1+Expenses!H10))/1000,1)*1000,0)</f>
        <v>300000</v>
      </c>
      <c r="J65" s="80"/>
      <c r="K65" s="61">
        <f>IF(Intro!$E$10&gt;3,ROUND((I65*(1+Expenses!I10))/1000,1)*1000,0)</f>
        <v>375000</v>
      </c>
      <c r="L65" s="80"/>
      <c r="M65" s="61">
        <f>IF(Intro!$E$10&gt;4,ROUND((K65*(1+Expenses!J10))/1000,1)*1000,0)</f>
        <v>375000</v>
      </c>
      <c r="N65" s="80"/>
      <c r="O65" s="61">
        <f>IF(Intro!$E$10&gt;5,ROUND((M65*(1+Expenses!K10))/1000,1)*1000,0)</f>
        <v>375000</v>
      </c>
      <c r="P65" s="80"/>
      <c r="Q65" s="61">
        <f>IF(Intro!$E$10&gt;6,ROUND((O65*(1+Expenses!L10))/1000,1)*1000,0)</f>
        <v>0</v>
      </c>
      <c r="R65" s="80"/>
      <c r="S65" s="61">
        <f>IF(Intro!$E$10&gt;7,ROUND((Q65*(1+Expenses!M10))/1000,1)*1000,0)</f>
        <v>0</v>
      </c>
      <c r="T65" s="80"/>
      <c r="U65" s="61">
        <f>IF(Intro!$E$10&gt;8,ROUND((S65*(1+Expenses!N10))/1000,1)*1000,0)</f>
        <v>0</v>
      </c>
      <c r="V65" s="80"/>
      <c r="W65" s="61">
        <f>IF(Intro!$E$10&gt;9,ROUND((U65*(1+Expenses!O10))/1000,1)*1000,0)</f>
        <v>0</v>
      </c>
    </row>
    <row r="66" spans="4:23" ht="12.75" hidden="1">
      <c r="D66" s="38"/>
      <c r="E66" s="49"/>
      <c r="F66" s="50"/>
      <c r="G66" s="60"/>
      <c r="H66" s="80"/>
      <c r="I66" s="60"/>
      <c r="J66" s="80"/>
      <c r="K66" s="60"/>
      <c r="L66" s="80"/>
      <c r="M66" s="60"/>
      <c r="N66" s="80"/>
      <c r="O66" s="60"/>
      <c r="P66" s="80"/>
      <c r="Q66" s="60"/>
      <c r="R66" s="80"/>
      <c r="S66" s="60"/>
      <c r="T66" s="80"/>
      <c r="U66" s="60"/>
      <c r="V66" s="80"/>
      <c r="W66" s="60"/>
    </row>
    <row r="67" spans="4:23" ht="12.75" hidden="1">
      <c r="D67" s="285" t="s">
        <v>122</v>
      </c>
      <c r="E67" s="125">
        <f>SUM(E58:E65)</f>
        <v>1006400</v>
      </c>
      <c r="F67" s="126"/>
      <c r="G67" s="125">
        <f>SUM(G58:G65)</f>
        <v>1037400</v>
      </c>
      <c r="H67" s="126"/>
      <c r="I67" s="125">
        <f>SUM(I58:I65)</f>
        <v>1065000</v>
      </c>
      <c r="J67" s="126"/>
      <c r="K67" s="125">
        <f>SUM(K58:K65)</f>
        <v>1163900</v>
      </c>
      <c r="L67" s="126"/>
      <c r="M67" s="125">
        <f>SUM(M58:M65)</f>
        <v>1191500</v>
      </c>
      <c r="N67" s="126"/>
      <c r="O67" s="125">
        <f>SUM(O58:O65)</f>
        <v>1220100</v>
      </c>
      <c r="P67" s="50"/>
      <c r="Q67" s="125">
        <f>SUM(Q58:Q65)</f>
        <v>0</v>
      </c>
      <c r="R67" s="126"/>
      <c r="S67" s="125">
        <f>SUM(S58:S65)</f>
        <v>0</v>
      </c>
      <c r="T67" s="126"/>
      <c r="U67" s="125">
        <f>SUM(U58:U65)</f>
        <v>0</v>
      </c>
      <c r="V67" s="126"/>
      <c r="W67" s="125">
        <f>SUM(W58:W65)</f>
        <v>0</v>
      </c>
    </row>
    <row r="68" spans="4:23" ht="12.75" hidden="1">
      <c r="D68" s="288" t="s">
        <v>79</v>
      </c>
      <c r="E68" s="112">
        <f>(E56-E67)*(1+$G$28)</f>
        <v>1392270</v>
      </c>
      <c r="F68" s="112"/>
      <c r="G68" s="112">
        <f>(G56-G67)*(1+$G$28)</f>
        <v>1582570.0000000002</v>
      </c>
      <c r="H68" s="112"/>
      <c r="I68" s="112">
        <f>(I56-I67)*(1+$G$28)</f>
        <v>1688280.0000000002</v>
      </c>
      <c r="J68" s="112"/>
      <c r="K68" s="112">
        <f>(K56-K67)*(1+$G$28)</f>
        <v>1617990.0000000002</v>
      </c>
      <c r="L68" s="112"/>
      <c r="M68" s="112">
        <f>(M56-M67)*(1+$G$28)</f>
        <v>1689050.0000000002</v>
      </c>
      <c r="N68" s="112"/>
      <c r="O68" s="112">
        <f>(O56-O67)*(1+$G$28)</f>
        <v>1762530.0000000002</v>
      </c>
      <c r="P68" s="112"/>
      <c r="Q68" s="112">
        <f>(Q56-Q67)*(1+$G$28)</f>
        <v>0</v>
      </c>
      <c r="R68" s="112"/>
      <c r="S68" s="112">
        <f>(S56-S67)*(1+$G$28)</f>
        <v>0</v>
      </c>
      <c r="T68" s="112"/>
      <c r="U68" s="112">
        <f>(U56-U67)*(1+$G$28)</f>
        <v>0</v>
      </c>
      <c r="V68" s="112"/>
      <c r="W68" s="112">
        <f>(W56-W67)*(1+$G$28)</f>
        <v>0</v>
      </c>
    </row>
    <row r="69" spans="4:23" ht="12.75" hidden="1">
      <c r="D69" s="286" t="s">
        <v>123</v>
      </c>
      <c r="E69" s="127">
        <f>ROUND(Mortgage!D22/1000,1)*1000</f>
        <v>803000</v>
      </c>
      <c r="F69" s="128"/>
      <c r="G69" s="127">
        <f>ROUND(Mortgage!E22/1000,1)*1000</f>
        <v>803000</v>
      </c>
      <c r="H69" s="128"/>
      <c r="I69" s="127">
        <f>ROUND(Mortgage!F22/1000,1)*1000</f>
        <v>803000</v>
      </c>
      <c r="J69" s="128"/>
      <c r="K69" s="127">
        <f>ROUND(Mortgage!G22/1000,1)*1000</f>
        <v>803000</v>
      </c>
      <c r="L69" s="128"/>
      <c r="M69" s="127">
        <f>ROUND(Mortgage!H22/1000,1)*1000</f>
        <v>803000</v>
      </c>
      <c r="N69" s="128"/>
      <c r="O69" s="127">
        <f>ROUND(Mortgage!I22/1000,1)*1000</f>
        <v>803000</v>
      </c>
      <c r="P69" s="128"/>
      <c r="Q69" s="127">
        <f>ROUND(Mortgage!J22/1000,1)*1000</f>
        <v>0</v>
      </c>
      <c r="R69" s="128"/>
      <c r="S69" s="127">
        <f>ROUND(Mortgage!K22/1000,1)*1000</f>
        <v>0</v>
      </c>
      <c r="T69" s="128"/>
      <c r="U69" s="127">
        <f>ROUND(Mortgage!L22/1000,1)*1000</f>
        <v>0</v>
      </c>
      <c r="V69" s="128"/>
      <c r="W69" s="127">
        <f>ROUND(Mortgage!M22/1000,1)*1000</f>
        <v>0</v>
      </c>
    </row>
    <row r="70" spans="4:23" ht="12.75" hidden="1">
      <c r="D70" s="287" t="s">
        <v>102</v>
      </c>
      <c r="E70" s="112">
        <f>E68-E69</f>
        <v>589270</v>
      </c>
      <c r="F70" s="112"/>
      <c r="G70" s="112">
        <f>G68-G69</f>
        <v>779570.0000000002</v>
      </c>
      <c r="H70" s="112"/>
      <c r="I70" s="112">
        <f>I68-I69</f>
        <v>885280.0000000002</v>
      </c>
      <c r="J70" s="112"/>
      <c r="K70" s="112">
        <f>K68-K69</f>
        <v>814990.0000000002</v>
      </c>
      <c r="L70" s="112"/>
      <c r="M70" s="112">
        <f>M68-M69</f>
        <v>886050.0000000002</v>
      </c>
      <c r="N70" s="112"/>
      <c r="O70" s="112">
        <f>O68-O69</f>
        <v>959530.0000000002</v>
      </c>
      <c r="P70" s="112"/>
      <c r="Q70" s="112">
        <f>Q68-Q69</f>
        <v>0</v>
      </c>
      <c r="R70" s="112"/>
      <c r="S70" s="112">
        <f>S68-S69</f>
        <v>0</v>
      </c>
      <c r="T70" s="112"/>
      <c r="U70" s="112">
        <f>U68-U69</f>
        <v>0</v>
      </c>
      <c r="V70" s="112"/>
      <c r="W70" s="112">
        <f>W68-W69</f>
        <v>0</v>
      </c>
    </row>
    <row r="71" spans="4:23" ht="12.75" hidden="1">
      <c r="D71" s="287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</row>
    <row r="72" spans="4:23" ht="12.75" hidden="1">
      <c r="D72" s="288" t="s">
        <v>79</v>
      </c>
      <c r="E72" s="118">
        <f>E68</f>
        <v>1392270</v>
      </c>
      <c r="F72" s="34"/>
      <c r="G72" s="118">
        <f>G68</f>
        <v>1582570.0000000002</v>
      </c>
      <c r="H72" s="119"/>
      <c r="I72" s="118">
        <f>I68</f>
        <v>1688280.0000000002</v>
      </c>
      <c r="J72" s="34"/>
      <c r="K72" s="118">
        <f>K68</f>
        <v>1617990.0000000002</v>
      </c>
      <c r="L72" s="34"/>
      <c r="M72" s="118">
        <f>M68</f>
        <v>1689050.0000000002</v>
      </c>
      <c r="N72" s="34"/>
      <c r="O72" s="118">
        <f>O68</f>
        <v>1762530.0000000002</v>
      </c>
      <c r="P72" s="34"/>
      <c r="Q72" s="118">
        <f>Q68</f>
        <v>0</v>
      </c>
      <c r="R72" s="34"/>
      <c r="S72" s="118">
        <f>S68</f>
        <v>0</v>
      </c>
      <c r="T72" s="120"/>
      <c r="U72" s="118">
        <f>U68</f>
        <v>0</v>
      </c>
      <c r="V72" s="34"/>
      <c r="W72" s="118">
        <f>W68</f>
        <v>0</v>
      </c>
    </row>
    <row r="73" spans="4:23" ht="12.75" hidden="1">
      <c r="D73" s="285" t="s">
        <v>117</v>
      </c>
      <c r="E73" s="133">
        <f>ROUND(Mortgage!D20/1000,1)*1000</f>
        <v>633900</v>
      </c>
      <c r="F73" s="134"/>
      <c r="G73" s="133">
        <f>ROUND(Mortgage!E20/1000,1)*1000</f>
        <v>619900</v>
      </c>
      <c r="H73" s="134"/>
      <c r="I73" s="133">
        <f>ROUND(Mortgage!F20/1000,1)*1000</f>
        <v>604700</v>
      </c>
      <c r="J73" s="134"/>
      <c r="K73" s="133">
        <f>ROUND(Mortgage!G20/1000,1)*1000</f>
        <v>588200</v>
      </c>
      <c r="L73" s="134"/>
      <c r="M73" s="133">
        <f>ROUND(Mortgage!H20/1000,1)*1000</f>
        <v>570400</v>
      </c>
      <c r="N73" s="134"/>
      <c r="O73" s="133">
        <f>ROUND(Mortgage!I20/1000,1)*1000</f>
        <v>551100</v>
      </c>
      <c r="P73" s="34"/>
      <c r="Q73" s="112">
        <f>ROUND(Mortgage!J20/1000,1)*1000</f>
        <v>0</v>
      </c>
      <c r="R73" s="34"/>
      <c r="S73" s="112">
        <f>ROUND(Mortgage!K20/1000,1)*1000</f>
        <v>0</v>
      </c>
      <c r="T73" s="120"/>
      <c r="U73" s="112">
        <f>ROUND(Mortgage!L20/1000,1)*1000</f>
        <v>0</v>
      </c>
      <c r="V73" s="34"/>
      <c r="W73" s="112">
        <f>ROUND(Mortgage!M20/1000,1)*1000</f>
        <v>0</v>
      </c>
    </row>
    <row r="74" spans="4:23" ht="12.75" hidden="1">
      <c r="D74" s="285" t="s">
        <v>118</v>
      </c>
      <c r="E74" s="135">
        <f>T49</f>
        <v>324100</v>
      </c>
      <c r="F74" s="133"/>
      <c r="G74" s="135">
        <f>IF(Intro!$E$10&gt;G51,$P$49,IF(Intro!$E$10=G51,$T$49,0))</f>
        <v>338200</v>
      </c>
      <c r="H74" s="133"/>
      <c r="I74" s="133">
        <f>IF(Intro!$E$10&gt;I51,$P$49,IF(Intro!$E$10=I51,$T$49,0))</f>
        <v>338200</v>
      </c>
      <c r="J74" s="133"/>
      <c r="K74" s="133">
        <f>IF(Intro!$E$10&gt;K51,$P$49,IF(Intro!$E$10=K51,$T$49,0))</f>
        <v>338200</v>
      </c>
      <c r="L74" s="133"/>
      <c r="M74" s="133">
        <f>IF(Intro!$E$10&gt;M51,$P$49,IF(Intro!$E$10=M51,$T$49,0))</f>
        <v>338200</v>
      </c>
      <c r="N74" s="133"/>
      <c r="O74" s="133">
        <f>IF(Intro!$E$10&gt;O51,$P$49,IF(Intro!$E$10=O51,$T$49,0))</f>
        <v>324100</v>
      </c>
      <c r="P74" s="50"/>
      <c r="Q74" s="50">
        <f>IF(Intro!$E$10&gt;Q51,$P$49,IF(Intro!$E$10=Q51,$T$49,0))</f>
        <v>0</v>
      </c>
      <c r="R74" s="50"/>
      <c r="S74" s="50">
        <f>IF(Intro!$E$10&gt;S51,$P$49,IF(Intro!$E$10=S51,$T$49,0))</f>
        <v>0</v>
      </c>
      <c r="T74" s="50"/>
      <c r="U74" s="50">
        <f>IF(Intro!$E$10&gt;U51,$P$49,IF(Intro!$E$10=U51,$T$49,0))</f>
        <v>0</v>
      </c>
      <c r="V74" s="50"/>
      <c r="W74" s="50">
        <f>IF(Intro!$E$10&gt;W51,$P$49,IF(Intro!$E$10=W51,$T$49,0))</f>
        <v>0</v>
      </c>
    </row>
    <row r="75" spans="4:23" ht="12.75" hidden="1">
      <c r="D75" s="288" t="s">
        <v>116</v>
      </c>
      <c r="E75" s="118">
        <f>E72-E73-E74</f>
        <v>434270</v>
      </c>
      <c r="F75" s="34"/>
      <c r="G75" s="118">
        <f>G72-G73-G74</f>
        <v>624470.0000000002</v>
      </c>
      <c r="H75" s="119"/>
      <c r="I75" s="121">
        <f>I72-I73-I74</f>
        <v>745380.0000000002</v>
      </c>
      <c r="J75" s="34"/>
      <c r="K75" s="121">
        <f>K72-K73-K74</f>
        <v>691590.0000000002</v>
      </c>
      <c r="L75" s="34"/>
      <c r="M75" s="121">
        <f>M72-M73-M74</f>
        <v>780450.0000000002</v>
      </c>
      <c r="N75" s="34"/>
      <c r="O75" s="121">
        <f>O72-O73-O74</f>
        <v>887330.0000000002</v>
      </c>
      <c r="P75" s="34"/>
      <c r="Q75" s="121">
        <f>Q72-Q73-Q74</f>
        <v>0</v>
      </c>
      <c r="R75" s="34"/>
      <c r="S75" s="121">
        <f>S72-S73-S74</f>
        <v>0</v>
      </c>
      <c r="T75" s="120"/>
      <c r="U75" s="121">
        <f>U72-U73-U74</f>
        <v>0</v>
      </c>
      <c r="V75" s="34"/>
      <c r="W75" s="121">
        <f>W72-W73-W74</f>
        <v>0</v>
      </c>
    </row>
    <row r="76" spans="4:23" ht="12.75" hidden="1">
      <c r="D76" s="285" t="s">
        <v>119</v>
      </c>
      <c r="E76" s="129">
        <f>$E$49</f>
        <v>0.4</v>
      </c>
      <c r="F76" s="34"/>
      <c r="G76" s="129">
        <f>$E$49</f>
        <v>0.4</v>
      </c>
      <c r="H76" s="119"/>
      <c r="I76" s="129">
        <f>$E$49</f>
        <v>0.4</v>
      </c>
      <c r="J76" s="34"/>
      <c r="K76" s="129">
        <f>$E$49</f>
        <v>0.4</v>
      </c>
      <c r="L76" s="122"/>
      <c r="M76" s="129">
        <f>$E$49</f>
        <v>0.4</v>
      </c>
      <c r="N76" s="122"/>
      <c r="O76" s="129">
        <f>$E$49</f>
        <v>0.4</v>
      </c>
      <c r="P76" s="122"/>
      <c r="Q76" s="129">
        <f>$E$49</f>
        <v>0.4</v>
      </c>
      <c r="R76" s="122"/>
      <c r="S76" s="129">
        <f>$E$49</f>
        <v>0.4</v>
      </c>
      <c r="T76" s="123"/>
      <c r="U76" s="129">
        <f>$E$49</f>
        <v>0.4</v>
      </c>
      <c r="V76" s="122"/>
      <c r="W76" s="129">
        <f>$E$49</f>
        <v>0.4</v>
      </c>
    </row>
    <row r="77" spans="4:23" ht="12.75" hidden="1">
      <c r="D77" s="288" t="s">
        <v>120</v>
      </c>
      <c r="E77" s="118">
        <f>ROUND(E75*E76/1000,1)*1000</f>
        <v>173700</v>
      </c>
      <c r="F77" s="34"/>
      <c r="G77" s="118">
        <f>ROUND(G75*G76/1000,1)*1000</f>
        <v>249800</v>
      </c>
      <c r="H77" s="119"/>
      <c r="I77" s="118">
        <f>ROUND(I75*I76/1000,1)*1000</f>
        <v>298200</v>
      </c>
      <c r="J77" s="34"/>
      <c r="K77" s="118">
        <f>ROUND(K75*K76/1000,1)*1000</f>
        <v>276600</v>
      </c>
      <c r="L77" s="122"/>
      <c r="M77" s="118">
        <f>ROUND(M75*M76/1000,1)*1000</f>
        <v>312200</v>
      </c>
      <c r="N77" s="122"/>
      <c r="O77" s="118">
        <f>ROUND(O75*O76/1000,1)*1000</f>
        <v>354900</v>
      </c>
      <c r="P77" s="122"/>
      <c r="Q77" s="118">
        <f>ROUND(Q75*Q76/1000,1)*1000</f>
        <v>0</v>
      </c>
      <c r="R77" s="122"/>
      <c r="S77" s="118">
        <f>ROUND(S75*S76/1000,1)*1000</f>
        <v>0</v>
      </c>
      <c r="T77" s="123"/>
      <c r="U77" s="118">
        <f>ROUND(U75*U76/1000,1)*1000</f>
        <v>0</v>
      </c>
      <c r="V77" s="122"/>
      <c r="W77" s="118">
        <f>ROUND(W75*W76/1000,1)*1000</f>
        <v>0</v>
      </c>
    </row>
    <row r="78" spans="4:23" ht="12.75" hidden="1">
      <c r="D78" s="287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</row>
    <row r="79" spans="4:23" ht="12.75">
      <c r="D79" s="287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</row>
    <row r="80" spans="2:23" ht="12.75">
      <c r="B80" s="304" t="s">
        <v>256</v>
      </c>
      <c r="D80" s="287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</row>
    <row r="81" spans="4:23" ht="12.75">
      <c r="D81" s="289" t="s">
        <v>121</v>
      </c>
      <c r="E81" s="311">
        <f>E70-E77</f>
        <v>415570</v>
      </c>
      <c r="F81" s="311"/>
      <c r="G81" s="311">
        <f>G70-G77</f>
        <v>529770.0000000002</v>
      </c>
      <c r="H81" s="311"/>
      <c r="I81" s="311">
        <f>I70-I77</f>
        <v>587080.0000000002</v>
      </c>
      <c r="J81" s="311"/>
      <c r="K81" s="311">
        <f>K70-K77</f>
        <v>538390.0000000002</v>
      </c>
      <c r="L81" s="311"/>
      <c r="M81" s="311">
        <f>M70-M77</f>
        <v>573850.0000000002</v>
      </c>
      <c r="N81" s="311"/>
      <c r="O81" s="311">
        <f>O70-O77</f>
        <v>604630.0000000002</v>
      </c>
      <c r="P81" s="311"/>
      <c r="Q81" s="311">
        <f>Q70-Q77</f>
        <v>0</v>
      </c>
      <c r="R81" s="311"/>
      <c r="S81" s="311">
        <f>S70-S77</f>
        <v>0</v>
      </c>
      <c r="T81" s="311"/>
      <c r="U81" s="311">
        <f>U70-U77</f>
        <v>0</v>
      </c>
      <c r="V81" s="311"/>
      <c r="W81" s="311">
        <f>W70-W77</f>
        <v>0</v>
      </c>
    </row>
    <row r="82" spans="3:23" ht="12.75">
      <c r="C82" s="290"/>
      <c r="D82" s="291" t="s">
        <v>248</v>
      </c>
      <c r="E82" s="263">
        <v>0</v>
      </c>
      <c r="F82" s="264"/>
      <c r="G82" s="263">
        <f>IF($O$4=2,$V$46,0)</f>
        <v>0</v>
      </c>
      <c r="H82" s="263"/>
      <c r="I82" s="263">
        <f>IF($O$4=3,$V$46,0)</f>
        <v>0</v>
      </c>
      <c r="J82" s="263"/>
      <c r="K82" s="263">
        <f>IF($O$4=4,$V$46,0)</f>
        <v>0</v>
      </c>
      <c r="L82" s="263"/>
      <c r="M82" s="263">
        <f>IF($O$4=5,$V$46,0)</f>
        <v>0</v>
      </c>
      <c r="N82" s="263"/>
      <c r="O82" s="263">
        <f>IF($O$4=6,$V$10,0)</f>
        <v>8596500</v>
      </c>
      <c r="P82" s="264"/>
      <c r="Q82" s="263">
        <f>IF($O$4=7,$V$46,0)</f>
        <v>0</v>
      </c>
      <c r="R82" s="263"/>
      <c r="S82" s="263">
        <f>IF($O$4=8,$V$46,0)</f>
        <v>0</v>
      </c>
      <c r="T82" s="263"/>
      <c r="U82" s="263">
        <f>IF($O$4=9,$V$46,0)</f>
        <v>0</v>
      </c>
      <c r="V82" s="263"/>
      <c r="W82" s="263">
        <f>IF($O$4=10,$V$46,0)</f>
        <v>0</v>
      </c>
    </row>
    <row r="83" spans="4:23" ht="12.75">
      <c r="D83" s="140" t="s">
        <v>249</v>
      </c>
      <c r="E83" s="267">
        <f>E81+E82</f>
        <v>415570</v>
      </c>
      <c r="F83" s="312"/>
      <c r="G83" s="267">
        <f>G81+G82</f>
        <v>529770.0000000002</v>
      </c>
      <c r="H83" s="312"/>
      <c r="I83" s="267">
        <f>I81+I82</f>
        <v>587080.0000000002</v>
      </c>
      <c r="J83" s="312"/>
      <c r="K83" s="267">
        <f>K81+K82</f>
        <v>538390.0000000002</v>
      </c>
      <c r="L83" s="312"/>
      <c r="M83" s="267">
        <f>M81+M82</f>
        <v>573850.0000000002</v>
      </c>
      <c r="N83" s="312"/>
      <c r="O83" s="267">
        <f>O81+O82</f>
        <v>9201130</v>
      </c>
      <c r="P83" s="312"/>
      <c r="Q83" s="267">
        <f>Q81+Q82</f>
        <v>0</v>
      </c>
      <c r="R83" s="312"/>
      <c r="S83" s="267">
        <f>S81+S82</f>
        <v>0</v>
      </c>
      <c r="T83" s="312"/>
      <c r="U83" s="267">
        <f>U81+U82</f>
        <v>0</v>
      </c>
      <c r="V83" s="312"/>
      <c r="W83" s="267">
        <f>W81+W82</f>
        <v>0</v>
      </c>
    </row>
    <row r="85" spans="5:15" ht="12.75">
      <c r="E85" s="38" t="s">
        <v>259</v>
      </c>
      <c r="G85" s="307">
        <f>NPV($G$22,E83,G83,I83,K83,M83,O83,Q83,S83,U83,W83)</f>
        <v>7174540.576192406</v>
      </c>
      <c r="H85" s="308" t="s">
        <v>258</v>
      </c>
      <c r="I85" s="309">
        <f>$K$22</f>
        <v>6793214.315510442</v>
      </c>
      <c r="J85" s="310" t="s">
        <v>91</v>
      </c>
      <c r="K85" s="98">
        <f>G85-I85</f>
        <v>381326.26068196446</v>
      </c>
      <c r="L85" s="2"/>
      <c r="M85" s="2"/>
      <c r="N85" s="2"/>
      <c r="O85" s="2"/>
    </row>
    <row r="86" spans="7:15" ht="12.75">
      <c r="G86" s="2"/>
      <c r="H86" s="2"/>
      <c r="I86" s="2"/>
      <c r="J86" s="2"/>
      <c r="K86" s="2"/>
      <c r="L86" s="2"/>
      <c r="M86" s="2"/>
      <c r="N86" s="2"/>
      <c r="O86" s="2"/>
    </row>
    <row r="87" spans="2:15" ht="12.75">
      <c r="B87" s="304" t="s">
        <v>257</v>
      </c>
      <c r="G87" s="2"/>
      <c r="H87" s="2"/>
      <c r="I87" s="2"/>
      <c r="J87" s="2"/>
      <c r="K87" s="2"/>
      <c r="L87" s="2"/>
      <c r="M87" s="2"/>
      <c r="N87" s="2"/>
      <c r="O87" s="2"/>
    </row>
    <row r="88" spans="4:23" ht="12.75">
      <c r="D88" s="289" t="s">
        <v>121</v>
      </c>
      <c r="E88" s="311">
        <f>E14</f>
        <v>339600</v>
      </c>
      <c r="F88" s="311"/>
      <c r="G88" s="311">
        <f>G14</f>
        <v>443500</v>
      </c>
      <c r="H88" s="311"/>
      <c r="I88" s="311">
        <f>I14</f>
        <v>495000</v>
      </c>
      <c r="J88" s="311"/>
      <c r="K88" s="311">
        <f>K14</f>
        <v>450100</v>
      </c>
      <c r="L88" s="311"/>
      <c r="M88" s="311">
        <f>M14</f>
        <v>481700</v>
      </c>
      <c r="N88" s="311"/>
      <c r="O88" s="311">
        <f>O14</f>
        <v>508500</v>
      </c>
      <c r="P88" s="311"/>
      <c r="Q88" s="311">
        <f>Q14</f>
        <v>0</v>
      </c>
      <c r="R88" s="311"/>
      <c r="S88" s="311">
        <f>S14</f>
        <v>0</v>
      </c>
      <c r="T88" s="311"/>
      <c r="U88" s="311">
        <f>U14</f>
        <v>0</v>
      </c>
      <c r="V88" s="311"/>
      <c r="W88" s="311">
        <f>W14</f>
        <v>0</v>
      </c>
    </row>
    <row r="89" spans="3:23" ht="12.75">
      <c r="C89" s="290"/>
      <c r="D89" s="291" t="s">
        <v>248</v>
      </c>
      <c r="E89" s="263">
        <v>0</v>
      </c>
      <c r="F89" s="264"/>
      <c r="G89" s="263">
        <f>IF($O$4=2,$V$46,0)</f>
        <v>0</v>
      </c>
      <c r="H89" s="263"/>
      <c r="I89" s="263">
        <f>IF($O$4=3,$V$46,0)</f>
        <v>0</v>
      </c>
      <c r="J89" s="263"/>
      <c r="K89" s="263">
        <f>IF($O$4=4,$V$46,0)</f>
        <v>0</v>
      </c>
      <c r="L89" s="263"/>
      <c r="M89" s="263">
        <f>IF($O$4=5,$V$46,0)</f>
        <v>0</v>
      </c>
      <c r="N89" s="263"/>
      <c r="O89" s="263">
        <f>IF($O$4=6,$V$46,0)</f>
        <v>10287500</v>
      </c>
      <c r="P89" s="264"/>
      <c r="Q89" s="263">
        <f>IF($O$4=7,$V$46,0)</f>
        <v>0</v>
      </c>
      <c r="R89" s="263"/>
      <c r="S89" s="263">
        <f>IF($O$4=8,$V$46,0)</f>
        <v>0</v>
      </c>
      <c r="T89" s="263"/>
      <c r="U89" s="263">
        <f>IF($O$4=9,$V$46,0)</f>
        <v>0</v>
      </c>
      <c r="V89" s="263"/>
      <c r="W89" s="263">
        <f>IF($O$4=10,$V$46,0)</f>
        <v>0</v>
      </c>
    </row>
    <row r="90" spans="4:23" ht="12.75">
      <c r="D90" s="140" t="s">
        <v>249</v>
      </c>
      <c r="E90" s="267">
        <f>E88+E89</f>
        <v>339600</v>
      </c>
      <c r="F90" s="312"/>
      <c r="G90" s="267">
        <f>G88+G89</f>
        <v>443500</v>
      </c>
      <c r="H90" s="267"/>
      <c r="I90" s="267">
        <f>I88+I89</f>
        <v>495000</v>
      </c>
      <c r="J90" s="267"/>
      <c r="K90" s="267">
        <f>K88+K89</f>
        <v>450100</v>
      </c>
      <c r="L90" s="267"/>
      <c r="M90" s="267">
        <f>M88+M89</f>
        <v>481700</v>
      </c>
      <c r="N90" s="267"/>
      <c r="O90" s="267">
        <f>O88+O89</f>
        <v>10796000</v>
      </c>
      <c r="P90" s="312"/>
      <c r="Q90" s="267">
        <f>Q88+Q89</f>
        <v>0</v>
      </c>
      <c r="R90" s="312"/>
      <c r="S90" s="267">
        <f>S88+S89</f>
        <v>0</v>
      </c>
      <c r="T90" s="312"/>
      <c r="U90" s="267">
        <f>U88+U89</f>
        <v>0</v>
      </c>
      <c r="V90" s="312"/>
      <c r="W90" s="267">
        <f>W88+W89</f>
        <v>0</v>
      </c>
    </row>
    <row r="91" spans="7:15" ht="12.75"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38" t="s">
        <v>259</v>
      </c>
      <c r="G92" s="307">
        <f>NPV($G$22,E90,G90,I90,K90,M90,O90,Q90,S90,U90,W90)</f>
        <v>7747739.731231378</v>
      </c>
      <c r="H92" s="308" t="s">
        <v>258</v>
      </c>
      <c r="I92" s="309">
        <f>$K$22</f>
        <v>6793214.315510442</v>
      </c>
      <c r="J92" s="310" t="s">
        <v>91</v>
      </c>
      <c r="K92" s="98">
        <f>G92-I92</f>
        <v>954525.4157209368</v>
      </c>
      <c r="L92" s="2"/>
      <c r="M92" s="2"/>
      <c r="N92" s="2"/>
      <c r="O92" s="2"/>
    </row>
    <row r="93" spans="7:15" ht="12.75">
      <c r="G93" s="2"/>
      <c r="H93" s="2"/>
      <c r="I93" s="2"/>
      <c r="J93" s="2"/>
      <c r="K93" s="2"/>
      <c r="L93" s="2"/>
      <c r="M93" s="2"/>
      <c r="N93" s="2"/>
      <c r="O93" s="2"/>
    </row>
    <row r="94" spans="7:15" ht="12.75">
      <c r="G94" s="2"/>
      <c r="H94" s="2"/>
      <c r="I94" s="2"/>
      <c r="J94" s="2"/>
      <c r="K94" s="2"/>
      <c r="L94" s="2"/>
      <c r="M94" s="2"/>
      <c r="N94" s="2"/>
      <c r="O94" s="2"/>
    </row>
    <row r="95" spans="7:15" ht="12.75">
      <c r="G95" s="2"/>
      <c r="H95" s="2"/>
      <c r="I95" s="2"/>
      <c r="J95" s="2"/>
      <c r="K95" s="2"/>
      <c r="L95" s="2"/>
      <c r="M95" s="2"/>
      <c r="N95" s="2"/>
      <c r="O95" s="2"/>
    </row>
  </sheetData>
  <mergeCells count="30">
    <mergeCell ref="O10:P10"/>
    <mergeCell ref="K22:L22"/>
    <mergeCell ref="O8:P8"/>
    <mergeCell ref="O6:P6"/>
    <mergeCell ref="O7:P7"/>
    <mergeCell ref="O9:P9"/>
    <mergeCell ref="V8:W8"/>
    <mergeCell ref="V9:W9"/>
    <mergeCell ref="V10:W10"/>
    <mergeCell ref="V4:W4"/>
    <mergeCell ref="V5:W5"/>
    <mergeCell ref="V6:W6"/>
    <mergeCell ref="V7:W7"/>
    <mergeCell ref="V40:W40"/>
    <mergeCell ref="V41:W41"/>
    <mergeCell ref="O42:P42"/>
    <mergeCell ref="V42:W42"/>
    <mergeCell ref="O43:P43"/>
    <mergeCell ref="V43:W43"/>
    <mergeCell ref="O44:P44"/>
    <mergeCell ref="V44:W44"/>
    <mergeCell ref="O45:P45"/>
    <mergeCell ref="V45:W45"/>
    <mergeCell ref="O46:P46"/>
    <mergeCell ref="V46:W46"/>
    <mergeCell ref="T49:U49"/>
    <mergeCell ref="E49:F49"/>
    <mergeCell ref="H49:I49"/>
    <mergeCell ref="L49:M49"/>
    <mergeCell ref="P49:Q49"/>
  </mergeCells>
  <printOptions horizontalCentered="1" verticalCentered="1"/>
  <pageMargins left="0.75" right="0.75" top="1" bottom="1" header="0.5" footer="0.5"/>
  <pageSetup horizontalDpi="600" verticalDpi="600" orientation="landscape" scale="85" r:id="rId1"/>
  <ignoredErrors>
    <ignoredError sqref="V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O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7.7109375" style="0" customWidth="1"/>
    <col min="3" max="3" width="10.7109375" style="0" customWidth="1"/>
    <col min="4" max="4" width="3.57421875" style="0" customWidth="1"/>
    <col min="5" max="5" width="7.00390625" style="0" customWidth="1"/>
    <col min="6" max="12" width="8.421875" style="0" customWidth="1"/>
  </cols>
  <sheetData>
    <row r="2" spans="2:7" ht="18">
      <c r="B2" s="20" t="s">
        <v>45</v>
      </c>
      <c r="C2" s="20"/>
      <c r="D2" s="59"/>
      <c r="E2" s="21" t="s">
        <v>173</v>
      </c>
      <c r="F2" s="44"/>
      <c r="G2" s="44"/>
    </row>
    <row r="3" spans="2:7" ht="12.75" customHeight="1">
      <c r="B3" s="20"/>
      <c r="C3" s="20"/>
      <c r="D3" s="59"/>
      <c r="E3" s="44"/>
      <c r="F3" s="44"/>
      <c r="G3" s="44"/>
    </row>
    <row r="4" spans="2:7" ht="12.75" customHeight="1">
      <c r="B4" s="67" t="s">
        <v>70</v>
      </c>
      <c r="C4" s="67"/>
      <c r="D4" s="59"/>
      <c r="E4" s="44"/>
      <c r="F4" s="44"/>
      <c r="G4" s="44"/>
    </row>
    <row r="5" spans="2:11" ht="12.75" customHeight="1">
      <c r="B5" s="67" t="s">
        <v>74</v>
      </c>
      <c r="C5" s="67"/>
      <c r="D5" s="59"/>
      <c r="E5" s="44"/>
      <c r="F5" s="44"/>
      <c r="G5" s="44"/>
      <c r="K5" s="1" t="s">
        <v>272</v>
      </c>
    </row>
    <row r="6" spans="2:7" ht="12.75" customHeight="1">
      <c r="B6" s="67"/>
      <c r="C6" s="67"/>
      <c r="D6" s="59"/>
      <c r="E6" s="44"/>
      <c r="F6" s="44"/>
      <c r="G6" s="44"/>
    </row>
    <row r="7" spans="4:12" ht="12.75" customHeight="1">
      <c r="D7" s="68"/>
      <c r="E7" s="69" t="s">
        <v>68</v>
      </c>
      <c r="F7" s="41">
        <v>0.035</v>
      </c>
      <c r="G7" s="44"/>
      <c r="H7" s="44"/>
      <c r="I7" s="44"/>
      <c r="K7" s="69" t="s">
        <v>72</v>
      </c>
      <c r="L7" s="41">
        <v>0.05</v>
      </c>
    </row>
    <row r="8" spans="4:9" ht="12.75" customHeight="1">
      <c r="D8" s="72"/>
      <c r="E8" s="24"/>
      <c r="F8" s="59"/>
      <c r="G8" s="44"/>
      <c r="H8" s="44"/>
      <c r="I8" s="44"/>
    </row>
    <row r="9" spans="4:15" ht="12.75" customHeight="1">
      <c r="D9" s="68"/>
      <c r="E9" s="24"/>
      <c r="F9" s="10" t="s">
        <v>31</v>
      </c>
      <c r="G9" s="30">
        <v>1</v>
      </c>
      <c r="H9" s="30">
        <v>2</v>
      </c>
      <c r="I9" s="30">
        <v>3</v>
      </c>
      <c r="J9" s="30">
        <v>4</v>
      </c>
      <c r="K9" s="30">
        <v>5</v>
      </c>
      <c r="L9" s="30">
        <v>6</v>
      </c>
      <c r="M9" s="30">
        <v>7</v>
      </c>
      <c r="N9" s="30">
        <v>8</v>
      </c>
      <c r="O9" s="30">
        <v>9</v>
      </c>
    </row>
    <row r="10" spans="4:15" ht="12.75" customHeight="1">
      <c r="D10" s="68"/>
      <c r="E10" s="70" t="s">
        <v>76</v>
      </c>
      <c r="F10" s="41"/>
      <c r="G10" s="41"/>
      <c r="H10" s="41"/>
      <c r="I10" s="41">
        <v>0.25</v>
      </c>
      <c r="J10" s="41"/>
      <c r="K10" s="41"/>
      <c r="L10" s="41"/>
      <c r="M10" s="41"/>
      <c r="N10" s="41"/>
      <c r="O10" s="41"/>
    </row>
    <row r="11" spans="4:6" ht="12.75">
      <c r="D11" s="68"/>
      <c r="E11" s="79" t="s">
        <v>77</v>
      </c>
      <c r="F11" s="35" t="s">
        <v>73</v>
      </c>
    </row>
    <row r="12" spans="4:5" ht="12.75">
      <c r="D12" s="71"/>
      <c r="E12" s="35"/>
    </row>
    <row r="13" spans="4:11" ht="12.75">
      <c r="D13" s="71"/>
      <c r="E13" s="35"/>
      <c r="K13" s="85" t="s">
        <v>83</v>
      </c>
    </row>
    <row r="15" spans="3:15" ht="12.75">
      <c r="C15" s="1" t="s">
        <v>23</v>
      </c>
      <c r="J15" s="74"/>
      <c r="K15" s="86"/>
      <c r="N15" s="355">
        <f>Intro!O30</f>
        <v>2346100</v>
      </c>
      <c r="O15" s="345"/>
    </row>
    <row r="16" spans="3:15" ht="12.75">
      <c r="C16" s="62" t="s">
        <v>66</v>
      </c>
      <c r="J16" s="74"/>
      <c r="N16" s="356">
        <f>ROUND((Intro!G25*N15)/1000,1)*1000</f>
        <v>176000</v>
      </c>
      <c r="O16" s="357"/>
    </row>
    <row r="17" spans="3:15" ht="12.75">
      <c r="C17" s="18"/>
      <c r="J17" s="74"/>
      <c r="N17" s="355">
        <f>N15-N16</f>
        <v>2170100</v>
      </c>
      <c r="O17" s="345"/>
    </row>
    <row r="18" spans="3:15" ht="12.75">
      <c r="C18" s="62" t="s">
        <v>57</v>
      </c>
      <c r="J18" s="74"/>
      <c r="N18" s="356">
        <f>ROUND((N17*Intro!$F$28)/1000,1)*1000</f>
        <v>102000</v>
      </c>
      <c r="O18" s="357"/>
    </row>
    <row r="19" spans="3:15" ht="12.75">
      <c r="C19" s="1" t="s">
        <v>46</v>
      </c>
      <c r="E19" s="18"/>
      <c r="J19" s="74"/>
      <c r="N19" s="358">
        <f>N17+N18</f>
        <v>2272100</v>
      </c>
      <c r="O19" s="345"/>
    </row>
    <row r="20" spans="6:15" ht="12.75">
      <c r="F20" s="65"/>
      <c r="I20" s="65" t="s">
        <v>71</v>
      </c>
      <c r="J20" s="74"/>
      <c r="N20" s="29"/>
      <c r="O20" s="63"/>
    </row>
    <row r="21" spans="3:15" ht="12.75">
      <c r="C21" s="1" t="s">
        <v>45</v>
      </c>
      <c r="G21" s="77"/>
      <c r="H21" s="77"/>
      <c r="I21" s="78" t="s">
        <v>67</v>
      </c>
      <c r="J21" s="74"/>
      <c r="N21" s="29"/>
      <c r="O21" s="63"/>
    </row>
    <row r="22" spans="3:15" ht="12.75">
      <c r="C22" s="59" t="s">
        <v>64</v>
      </c>
      <c r="J22" s="74"/>
      <c r="K22" s="344">
        <f>ROUND((N19*$L$7)/1000,1)*1000</f>
        <v>113600</v>
      </c>
      <c r="L22" s="345"/>
      <c r="N22" s="29"/>
      <c r="O22" s="63"/>
    </row>
    <row r="23" spans="3:15" ht="12.75">
      <c r="C23" t="s">
        <v>58</v>
      </c>
      <c r="F23" s="351"/>
      <c r="G23" s="352"/>
      <c r="H23" s="347">
        <v>197100</v>
      </c>
      <c r="I23" s="348"/>
      <c r="J23" s="74"/>
      <c r="K23" s="344">
        <f aca="true" t="shared" si="0" ref="K23:K28">ROUND((H23*(1+$F$7))/1000,1)*1000</f>
        <v>204000</v>
      </c>
      <c r="L23" s="345"/>
      <c r="N23" s="29"/>
      <c r="O23" s="63"/>
    </row>
    <row r="24" spans="3:15" ht="12.75">
      <c r="C24" t="s">
        <v>59</v>
      </c>
      <c r="F24" s="351"/>
      <c r="G24" s="352"/>
      <c r="H24" s="347">
        <v>105300</v>
      </c>
      <c r="I24" s="348"/>
      <c r="J24" s="74"/>
      <c r="K24" s="344">
        <f t="shared" si="0"/>
        <v>109000</v>
      </c>
      <c r="L24" s="345"/>
      <c r="N24" s="29"/>
      <c r="O24" s="63"/>
    </row>
    <row r="25" spans="3:15" ht="12.75">
      <c r="C25" t="s">
        <v>60</v>
      </c>
      <c r="F25" s="351"/>
      <c r="G25" s="352"/>
      <c r="H25" s="347">
        <v>35500</v>
      </c>
      <c r="I25" s="348"/>
      <c r="J25" s="74"/>
      <c r="K25" s="344">
        <f t="shared" si="0"/>
        <v>36700</v>
      </c>
      <c r="L25" s="345"/>
      <c r="N25" s="29"/>
      <c r="O25" s="63"/>
    </row>
    <row r="26" spans="3:15" ht="12.75">
      <c r="C26" t="s">
        <v>61</v>
      </c>
      <c r="F26" s="351"/>
      <c r="G26" s="352"/>
      <c r="H26" s="347">
        <v>21000</v>
      </c>
      <c r="I26" s="348"/>
      <c r="J26" s="74"/>
      <c r="K26" s="344">
        <f t="shared" si="0"/>
        <v>21700</v>
      </c>
      <c r="L26" s="345"/>
      <c r="N26" s="29"/>
      <c r="O26" s="63"/>
    </row>
    <row r="27" spans="3:15" ht="12.75">
      <c r="C27" t="s">
        <v>62</v>
      </c>
      <c r="F27" s="351"/>
      <c r="G27" s="352"/>
      <c r="H27" s="347">
        <v>32000</v>
      </c>
      <c r="I27" s="348"/>
      <c r="J27" s="74"/>
      <c r="K27" s="344">
        <f t="shared" si="0"/>
        <v>33100</v>
      </c>
      <c r="L27" s="345"/>
      <c r="N27" s="29"/>
      <c r="O27" s="63"/>
    </row>
    <row r="28" spans="3:15" ht="12.75">
      <c r="C28" t="s">
        <v>65</v>
      </c>
      <c r="F28" s="351"/>
      <c r="G28" s="352"/>
      <c r="H28" s="347">
        <v>181900</v>
      </c>
      <c r="I28" s="348"/>
      <c r="J28" s="74"/>
      <c r="K28" s="344">
        <f t="shared" si="0"/>
        <v>188300</v>
      </c>
      <c r="L28" s="345"/>
      <c r="N28" s="29"/>
      <c r="O28" s="63"/>
    </row>
    <row r="29" spans="2:15" ht="12.75">
      <c r="B29" s="2"/>
      <c r="C29" t="s">
        <v>63</v>
      </c>
      <c r="D29" s="66"/>
      <c r="F29" s="353"/>
      <c r="G29" s="354"/>
      <c r="H29" s="349">
        <v>300000</v>
      </c>
      <c r="I29" s="350"/>
      <c r="J29" s="74"/>
      <c r="K29" s="344">
        <f>ROUND((H29*(1+F10))/1000,1)*1000</f>
        <v>300000</v>
      </c>
      <c r="L29" s="345"/>
      <c r="N29" s="359">
        <f>SUM(K22:L29)</f>
        <v>1006400</v>
      </c>
      <c r="O29" s="357"/>
    </row>
    <row r="30" spans="10:15" ht="12.75">
      <c r="J30" s="75"/>
      <c r="K30" s="64"/>
      <c r="N30" s="29"/>
      <c r="O30" s="63"/>
    </row>
    <row r="31" spans="2:15" ht="12.75">
      <c r="B31" s="25"/>
      <c r="C31" s="73" t="s">
        <v>69</v>
      </c>
      <c r="J31" s="75"/>
      <c r="K31" s="64"/>
      <c r="N31" s="346">
        <f>+N19-N29</f>
        <v>1265700</v>
      </c>
      <c r="O31" s="345"/>
    </row>
    <row r="32" ht="12.75">
      <c r="K32" s="76"/>
    </row>
    <row r="33" ht="12.75">
      <c r="K33" s="76" t="s">
        <v>75</v>
      </c>
    </row>
  </sheetData>
  <mergeCells count="29">
    <mergeCell ref="F23:G23"/>
    <mergeCell ref="F24:G24"/>
    <mergeCell ref="F25:G25"/>
    <mergeCell ref="F26:G26"/>
    <mergeCell ref="F27:G27"/>
    <mergeCell ref="F28:G28"/>
    <mergeCell ref="F29:G29"/>
    <mergeCell ref="N15:O15"/>
    <mergeCell ref="N16:O16"/>
    <mergeCell ref="N17:O17"/>
    <mergeCell ref="N18:O18"/>
    <mergeCell ref="N19:O19"/>
    <mergeCell ref="N29:O29"/>
    <mergeCell ref="K22:L22"/>
    <mergeCell ref="N31:O31"/>
    <mergeCell ref="H23:I23"/>
    <mergeCell ref="H24:I24"/>
    <mergeCell ref="H25:I25"/>
    <mergeCell ref="H26:I26"/>
    <mergeCell ref="H27:I27"/>
    <mergeCell ref="H28:I28"/>
    <mergeCell ref="H29:I29"/>
    <mergeCell ref="K23:L23"/>
    <mergeCell ref="K24:L24"/>
    <mergeCell ref="K29:L29"/>
    <mergeCell ref="K25:L25"/>
    <mergeCell ref="K26:L26"/>
    <mergeCell ref="K27:L27"/>
    <mergeCell ref="K28:L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7"/>
  <sheetViews>
    <sheetView showGridLines="0" workbookViewId="0" topLeftCell="A19">
      <selection activeCell="A1" sqref="A1"/>
    </sheetView>
  </sheetViews>
  <sheetFormatPr defaultColWidth="9.140625" defaultRowHeight="12.75"/>
  <cols>
    <col min="1" max="1" width="3.7109375" style="0" customWidth="1"/>
    <col min="2" max="2" width="20.851562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</cols>
  <sheetData>
    <row r="2" spans="2:5" ht="18">
      <c r="B2" s="20" t="s">
        <v>82</v>
      </c>
      <c r="D2" s="44"/>
      <c r="E2" s="21" t="s">
        <v>173</v>
      </c>
    </row>
    <row r="3" spans="2:4" ht="9" customHeight="1">
      <c r="B3" s="67"/>
      <c r="D3" s="44"/>
    </row>
    <row r="4" spans="2:4" ht="12.75" customHeight="1">
      <c r="B4" s="67" t="s">
        <v>271</v>
      </c>
      <c r="D4" s="44"/>
    </row>
    <row r="5" spans="2:15" ht="12.75" customHeight="1">
      <c r="B5" s="67" t="s">
        <v>270</v>
      </c>
      <c r="D5" s="44"/>
      <c r="O5" s="1" t="s">
        <v>269</v>
      </c>
    </row>
    <row r="6" spans="2:4" ht="12.75" customHeight="1">
      <c r="B6" s="67"/>
      <c r="D6" s="44"/>
    </row>
    <row r="7" spans="2:20" ht="12.75">
      <c r="B7" s="84" t="s">
        <v>81</v>
      </c>
      <c r="N7" s="29"/>
      <c r="P7" s="29"/>
      <c r="R7" s="29"/>
      <c r="T7" s="29"/>
    </row>
    <row r="8" spans="1:21" ht="12.75">
      <c r="A8" s="39"/>
      <c r="B8" s="39"/>
      <c r="C8" s="45">
        <v>1</v>
      </c>
      <c r="D8" s="46"/>
      <c r="E8" s="45">
        <v>2</v>
      </c>
      <c r="F8" s="46"/>
      <c r="G8" s="45">
        <v>3</v>
      </c>
      <c r="H8" s="46"/>
      <c r="I8" s="45">
        <v>4</v>
      </c>
      <c r="J8" s="46"/>
      <c r="K8" s="45">
        <v>5</v>
      </c>
      <c r="L8" s="46"/>
      <c r="M8" s="45">
        <v>6</v>
      </c>
      <c r="N8" s="46"/>
      <c r="O8" s="45">
        <v>7</v>
      </c>
      <c r="P8" s="46"/>
      <c r="Q8" s="45">
        <v>8</v>
      </c>
      <c r="R8" s="46"/>
      <c r="S8" s="45">
        <v>9</v>
      </c>
      <c r="T8" s="46"/>
      <c r="U8" s="45">
        <v>10</v>
      </c>
    </row>
    <row r="9" spans="1:21" ht="12.75">
      <c r="A9" s="47">
        <v>1</v>
      </c>
      <c r="B9" s="48" t="s">
        <v>23</v>
      </c>
      <c r="C9" s="49">
        <f>Intro!O30</f>
        <v>2346100</v>
      </c>
      <c r="D9" s="50"/>
      <c r="E9" s="51">
        <f>IF(Intro!$E$10&gt;1,ROUND((C9*(1+Intro!G21))/1000,1)*1000,0)</f>
        <v>2463400</v>
      </c>
      <c r="F9" s="52"/>
      <c r="G9" s="51">
        <f>IF(Intro!$E$10&gt;2,ROUND((E9*(1+Intro!H21))/1000,1)*1000,0)</f>
        <v>2586600</v>
      </c>
      <c r="H9" s="52"/>
      <c r="I9" s="51">
        <f>IF(Intro!$E$10&gt;3,ROUND((G9*(1+Intro!I21))/1000,1)*1000,0)</f>
        <v>2677100</v>
      </c>
      <c r="J9" s="52"/>
      <c r="K9" s="51">
        <f>IF(Intro!$E$10&gt;4,ROUND((I9*(1+Intro!J21))/1000,1)*1000,0)</f>
        <v>2770800</v>
      </c>
      <c r="L9" s="52"/>
      <c r="M9" s="51">
        <f>IF(Intro!$E$10&gt;5,ROUND((K9*(1+Intro!K21))/1000,1)*1000,0)</f>
        <v>2867800</v>
      </c>
      <c r="N9" s="52"/>
      <c r="O9" s="51">
        <f>IF(Intro!$E$10&gt;6,ROUND((M9*(1+Intro!L21))/1000,1)*1000,0)</f>
        <v>0</v>
      </c>
      <c r="P9" s="52"/>
      <c r="Q9" s="51">
        <f>IF(Intro!$E$10&gt;7,ROUND((O9*(1+Intro!M21))/1000,1)*1000,0)</f>
        <v>0</v>
      </c>
      <c r="R9" s="52"/>
      <c r="S9" s="51">
        <f>IF(Intro!$E$10&gt;8,ROUND((Q9*(1+Intro!N21))/1000,1)*1000,0)</f>
        <v>0</v>
      </c>
      <c r="T9" s="52"/>
      <c r="U9" s="51">
        <f>IF(Intro!$E$10&gt;9,ROUND((S9*(1+Intro!O21))/1000,1)*1000,0)</f>
        <v>0</v>
      </c>
    </row>
    <row r="10" spans="1:21" ht="12.75">
      <c r="A10" s="47">
        <v>2</v>
      </c>
      <c r="B10" s="48" t="s">
        <v>47</v>
      </c>
      <c r="C10" s="53">
        <f>ROUND((Intro!G25*C9)/1000,1)*1000</f>
        <v>176000</v>
      </c>
      <c r="D10" s="54"/>
      <c r="E10" s="53">
        <f>ROUND((Intro!H25*E9)/1000,1)*1000</f>
        <v>98500</v>
      </c>
      <c r="F10" s="54"/>
      <c r="G10" s="53">
        <f>ROUND((Intro!I25*G9)/1000,1)*1000</f>
        <v>103500</v>
      </c>
      <c r="H10" s="54"/>
      <c r="I10" s="53">
        <f>ROUND((Intro!J25*I9)/1000,1)*1000</f>
        <v>160600</v>
      </c>
      <c r="J10" s="54"/>
      <c r="K10" s="53">
        <f>ROUND((Intro!K25*K9)/1000,1)*1000</f>
        <v>166200</v>
      </c>
      <c r="L10" s="54"/>
      <c r="M10" s="53">
        <f>ROUND((Intro!L25*M9)/1000,1)*1000</f>
        <v>172100</v>
      </c>
      <c r="N10" s="54"/>
      <c r="O10" s="53">
        <f>ROUND((Intro!M25*O9)/1000,1)*1000</f>
        <v>0</v>
      </c>
      <c r="P10" s="54"/>
      <c r="Q10" s="53">
        <f>ROUND((Intro!N25*Q9)/1000,1)*1000</f>
        <v>0</v>
      </c>
      <c r="R10" s="54"/>
      <c r="S10" s="53">
        <f>ROUND((Intro!O25*S9)/1000,1)*1000</f>
        <v>0</v>
      </c>
      <c r="T10" s="54"/>
      <c r="U10" s="53">
        <f>ROUND((Intro!P25*U9)/1000,1)*1000</f>
        <v>0</v>
      </c>
    </row>
    <row r="11" spans="1:21" ht="12.75">
      <c r="A11" s="47">
        <v>3</v>
      </c>
      <c r="B11" s="39"/>
      <c r="C11" s="52">
        <f>C9-C10</f>
        <v>2170100</v>
      </c>
      <c r="D11" s="52"/>
      <c r="E11" s="52">
        <f>E9-E10</f>
        <v>2364900</v>
      </c>
      <c r="F11" s="52"/>
      <c r="G11" s="52">
        <f>G9-G10</f>
        <v>2483100</v>
      </c>
      <c r="H11" s="52"/>
      <c r="I11" s="52">
        <f>I9-I10</f>
        <v>2516500</v>
      </c>
      <c r="J11" s="52"/>
      <c r="K11" s="52">
        <f>K9-K10</f>
        <v>2604600</v>
      </c>
      <c r="L11" s="52"/>
      <c r="M11" s="52">
        <f>M9-M10</f>
        <v>2695700</v>
      </c>
      <c r="N11" s="52"/>
      <c r="O11" s="52">
        <f>O9-O10</f>
        <v>0</v>
      </c>
      <c r="P11" s="52"/>
      <c r="Q11" s="52">
        <f>Q9-Q10</f>
        <v>0</v>
      </c>
      <c r="R11" s="52"/>
      <c r="S11" s="52">
        <f>S9-S10</f>
        <v>0</v>
      </c>
      <c r="T11" s="52"/>
      <c r="U11" s="52">
        <f>U9-U10</f>
        <v>0</v>
      </c>
    </row>
    <row r="12" spans="1:21" ht="12.75">
      <c r="A12" s="47">
        <v>4</v>
      </c>
      <c r="B12" s="48" t="s">
        <v>48</v>
      </c>
      <c r="C12" s="55">
        <f>ROUND((C11*Intro!$F$28)/1000,1)*1000</f>
        <v>102000</v>
      </c>
      <c r="D12" s="50"/>
      <c r="E12" s="55">
        <f>ROUND((E11*Intro!$F$28)/1000,1)*1000</f>
        <v>111200</v>
      </c>
      <c r="F12" s="50"/>
      <c r="G12" s="55">
        <f>ROUND((G11*Intro!$F$28)/1000,1)*1000</f>
        <v>116700</v>
      </c>
      <c r="H12" s="50"/>
      <c r="I12" s="55">
        <f>ROUND((I11*Intro!$F$28)/1000,1)*1000</f>
        <v>118300</v>
      </c>
      <c r="J12" s="50"/>
      <c r="K12" s="55">
        <f>ROUND((K11*Intro!$F$28)/1000,1)*1000</f>
        <v>122400</v>
      </c>
      <c r="L12" s="50"/>
      <c r="M12" s="55">
        <f>ROUND((M11*Intro!$F$28)/1000,1)*1000</f>
        <v>126700</v>
      </c>
      <c r="N12" s="50"/>
      <c r="O12" s="55">
        <f>ROUND((O11*Intro!$F$28)/1000,1)*1000</f>
        <v>0</v>
      </c>
      <c r="P12" s="50"/>
      <c r="Q12" s="55">
        <f>ROUND((Q11*Intro!$F$28)/1000,1)*1000</f>
        <v>0</v>
      </c>
      <c r="R12" s="50"/>
      <c r="S12" s="55">
        <f>ROUND((S11*Intro!$F$28)/1000,1)*1000</f>
        <v>0</v>
      </c>
      <c r="T12" s="50"/>
      <c r="U12" s="55">
        <f>ROUND((U11*Intro!$F$28)/1000,1)*1000</f>
        <v>0</v>
      </c>
    </row>
    <row r="13" spans="1:21" ht="12.75">
      <c r="A13" s="47">
        <v>5</v>
      </c>
      <c r="B13" s="48" t="s">
        <v>46</v>
      </c>
      <c r="C13" s="57">
        <f>C11+C12</f>
        <v>2272100</v>
      </c>
      <c r="D13" s="57"/>
      <c r="E13" s="57">
        <f aca="true" t="shared" si="0" ref="E13:U13">E11+E12</f>
        <v>2476100</v>
      </c>
      <c r="F13" s="57"/>
      <c r="G13" s="57">
        <f t="shared" si="0"/>
        <v>2599800</v>
      </c>
      <c r="H13" s="57"/>
      <c r="I13" s="57">
        <f t="shared" si="0"/>
        <v>2634800</v>
      </c>
      <c r="J13" s="57"/>
      <c r="K13" s="57">
        <f t="shared" si="0"/>
        <v>2727000</v>
      </c>
      <c r="L13" s="57"/>
      <c r="M13" s="57">
        <f t="shared" si="0"/>
        <v>2822400</v>
      </c>
      <c r="N13" s="57"/>
      <c r="O13" s="57">
        <f t="shared" si="0"/>
        <v>0</v>
      </c>
      <c r="P13" s="57"/>
      <c r="Q13" s="57">
        <f t="shared" si="0"/>
        <v>0</v>
      </c>
      <c r="R13" s="57"/>
      <c r="S13" s="57">
        <f t="shared" si="0"/>
        <v>0</v>
      </c>
      <c r="T13" s="57"/>
      <c r="U13" s="57">
        <f t="shared" si="0"/>
        <v>0</v>
      </c>
    </row>
    <row r="14" spans="1:21" ht="12.75">
      <c r="A14" s="47"/>
      <c r="B14" s="4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12.75">
      <c r="A15" s="47">
        <v>6</v>
      </c>
      <c r="B15" s="58" t="s">
        <v>45</v>
      </c>
      <c r="C15" s="39"/>
      <c r="D15" s="56"/>
      <c r="E15" s="39"/>
      <c r="F15" s="56"/>
      <c r="G15" s="39"/>
      <c r="H15" s="56"/>
      <c r="I15" s="39"/>
      <c r="J15" s="56"/>
      <c r="K15" s="39"/>
      <c r="L15" s="56"/>
      <c r="M15" s="39"/>
      <c r="N15" s="56"/>
      <c r="O15" s="39"/>
      <c r="P15" s="56"/>
      <c r="Q15" s="39"/>
      <c r="R15" s="56"/>
      <c r="S15" s="39"/>
      <c r="T15" s="56"/>
      <c r="U15" s="39"/>
    </row>
    <row r="16" spans="1:21" ht="12.75">
      <c r="A16" s="47">
        <v>7</v>
      </c>
      <c r="B16" s="48" t="s">
        <v>49</v>
      </c>
      <c r="C16" s="49">
        <f>Expenses!K22</f>
        <v>113600</v>
      </c>
      <c r="D16" s="50"/>
      <c r="E16" s="60">
        <f>ROUND((E13*Expenses!$L$7)/1000,1)*1000</f>
        <v>123800</v>
      </c>
      <c r="F16" s="80"/>
      <c r="G16" s="60">
        <f>ROUND((G13*Expenses!$L$7)/1000,1)*1000</f>
        <v>130000</v>
      </c>
      <c r="H16" s="80"/>
      <c r="I16" s="60">
        <f>ROUND((I13*Expenses!$L$7)/1000,1)*1000</f>
        <v>131700</v>
      </c>
      <c r="J16" s="80"/>
      <c r="K16" s="60">
        <f>ROUND((K13*Expenses!$L$7)/1000,1)*1000</f>
        <v>136400</v>
      </c>
      <c r="L16" s="80"/>
      <c r="M16" s="60">
        <f>ROUND((M13*Expenses!$L$7)/1000,1)*1000</f>
        <v>141100</v>
      </c>
      <c r="N16" s="80"/>
      <c r="O16" s="60">
        <f>ROUND((O13*Expenses!$L$7)/1000,1)*1000</f>
        <v>0</v>
      </c>
      <c r="P16" s="80"/>
      <c r="Q16" s="60">
        <f>ROUND((Q13*Expenses!$L$7)/1000,1)*1000</f>
        <v>0</v>
      </c>
      <c r="R16" s="80"/>
      <c r="S16" s="60">
        <f>ROUND((S13*Expenses!$L$7)/1000,1)*1000</f>
        <v>0</v>
      </c>
      <c r="T16" s="80"/>
      <c r="U16" s="60">
        <f>ROUND((U13*Expenses!$L$7)/1000,1)*1000</f>
        <v>0</v>
      </c>
    </row>
    <row r="17" spans="1:21" ht="12.75">
      <c r="A17" s="47">
        <v>8</v>
      </c>
      <c r="B17" s="48" t="s">
        <v>50</v>
      </c>
      <c r="C17" s="49">
        <f>Expenses!K23</f>
        <v>204000</v>
      </c>
      <c r="D17" s="50"/>
      <c r="E17" s="60">
        <f>IF(Intro!$E$10&gt;1,ROUND((C17*(1+Expenses!$F$7))/1000,1)*1000,0)</f>
        <v>211100</v>
      </c>
      <c r="F17" s="80"/>
      <c r="G17" s="60">
        <f>IF(Intro!$E$10&gt;2,ROUND((E17*(1+Expenses!$F$7))/1000,1)*1000,0)</f>
        <v>218500</v>
      </c>
      <c r="H17" s="80"/>
      <c r="I17" s="60">
        <f>IF(Intro!$E$10&gt;3,ROUND((G17*(1+Expenses!$F$7))/1000,1)*1000,0)</f>
        <v>226100</v>
      </c>
      <c r="J17" s="80"/>
      <c r="K17" s="60">
        <f>IF(Intro!$E$10&gt;4,ROUND((I17*(1+Expenses!$F$7))/1000,1)*1000,0)</f>
        <v>234000</v>
      </c>
      <c r="L17" s="80"/>
      <c r="M17" s="60">
        <f>IF(Intro!$E$10&gt;5,ROUND((K17*(1+Expenses!$F$7))/1000,1)*1000,0)</f>
        <v>242200</v>
      </c>
      <c r="N17" s="80"/>
      <c r="O17" s="60">
        <f>IF(Intro!$E$10&gt;6,ROUND((M17*(1+Expenses!$F$7))/1000,1)*1000,0)</f>
        <v>0</v>
      </c>
      <c r="P17" s="80"/>
      <c r="Q17" s="60">
        <f>IF(Intro!$E$10&gt;7,ROUND((O17*(1+Expenses!$F$7))/1000,1)*1000,0)</f>
        <v>0</v>
      </c>
      <c r="R17" s="80"/>
      <c r="S17" s="60">
        <f>IF(Intro!$E$10&gt;8,ROUND((Q17*(1+Expenses!$F$7))/1000,1)*1000,0)</f>
        <v>0</v>
      </c>
      <c r="T17" s="80"/>
      <c r="U17" s="60">
        <f>IF(Intro!$E$10&gt;9,ROUND((S17*(1+Expenses!$F$7))/1000,1)*1000,0)</f>
        <v>0</v>
      </c>
    </row>
    <row r="18" spans="1:21" ht="12.75">
      <c r="A18" s="47">
        <v>9</v>
      </c>
      <c r="B18" s="48" t="s">
        <v>51</v>
      </c>
      <c r="C18" s="49">
        <f>Expenses!K24</f>
        <v>109000</v>
      </c>
      <c r="D18" s="50"/>
      <c r="E18" s="60">
        <f>IF(Intro!$E$10&gt;1,ROUND((C18*(1+Expenses!$F$7))/1000,1)*1000,0)</f>
        <v>112800</v>
      </c>
      <c r="F18" s="50"/>
      <c r="G18" s="60">
        <f>IF(Intro!$E$10&gt;2,ROUND((E18*(1+Expenses!$F$7))/1000,1)*1000,0)</f>
        <v>116700</v>
      </c>
      <c r="H18" s="50"/>
      <c r="I18" s="60">
        <f>IF(Intro!$E$10&gt;3,ROUND((G18*(1+Expenses!$F$7))/1000,1)*1000,0)</f>
        <v>120800</v>
      </c>
      <c r="J18" s="50"/>
      <c r="K18" s="60">
        <f>IF(Intro!$E$10&gt;4,ROUND((I18*(1+Expenses!$F$7))/1000,1)*1000,0)</f>
        <v>125000</v>
      </c>
      <c r="L18" s="80"/>
      <c r="M18" s="60">
        <f>IF(Intro!$E$10&gt;5,ROUND((K18*(1+Expenses!$F$7))/1000,1)*1000,0)</f>
        <v>129400</v>
      </c>
      <c r="N18" s="50"/>
      <c r="O18" s="60">
        <f>IF(Intro!$E$10&gt;6,ROUND((M18*(1+Expenses!$F$7))/1000,1)*1000,0)</f>
        <v>0</v>
      </c>
      <c r="P18" s="50"/>
      <c r="Q18" s="60">
        <f>IF(Intro!$E$10&gt;7,ROUND((O18*(1+Expenses!$F$7))/1000,1)*1000,0)</f>
        <v>0</v>
      </c>
      <c r="R18" s="50"/>
      <c r="S18" s="60">
        <f>IF(Intro!$E$10&gt;8,ROUND((Q18*(1+Expenses!$F$7))/1000,1)*1000,0)</f>
        <v>0</v>
      </c>
      <c r="T18" s="50"/>
      <c r="U18" s="60">
        <f>IF(Intro!$E$10&gt;9,ROUND((S18*(1+Expenses!$F$7))/1000,1)*1000,0)</f>
        <v>0</v>
      </c>
    </row>
    <row r="19" spans="1:21" ht="12.75">
      <c r="A19" s="47">
        <v>10</v>
      </c>
      <c r="B19" s="48" t="s">
        <v>52</v>
      </c>
      <c r="C19" s="49">
        <f>Expenses!K25</f>
        <v>36700</v>
      </c>
      <c r="D19" s="50"/>
      <c r="E19" s="60">
        <f>IF(Intro!$E$10&gt;1,ROUND((C19*(1+Expenses!$F$7))/1000,1)*1000,0)</f>
        <v>38000</v>
      </c>
      <c r="F19" s="50"/>
      <c r="G19" s="60">
        <f>IF(Intro!$E$10&gt;2,ROUND((E19*(1+Expenses!$F$7))/1000,1)*1000,0)</f>
        <v>39300</v>
      </c>
      <c r="H19" s="50"/>
      <c r="I19" s="60">
        <f>IF(Intro!$E$10&gt;3,ROUND((G19*(1+Expenses!$F$7))/1000,1)*1000,0)</f>
        <v>40700</v>
      </c>
      <c r="J19" s="50"/>
      <c r="K19" s="60">
        <f>IF(Intro!$E$10&gt;4,ROUND((I19*(1+Expenses!$F$7))/1000,1)*1000,0)</f>
        <v>42100</v>
      </c>
      <c r="L19" s="80"/>
      <c r="M19" s="60">
        <f>IF(Intro!$E$10&gt;5,ROUND((K19*(1+Expenses!$F$7))/1000,1)*1000,0)</f>
        <v>43600</v>
      </c>
      <c r="N19" s="50"/>
      <c r="O19" s="60">
        <f>IF(Intro!$E$10&gt;6,ROUND((M19*(1+Expenses!$F$7))/1000,1)*1000,0)</f>
        <v>0</v>
      </c>
      <c r="P19" s="50"/>
      <c r="Q19" s="60">
        <f>IF(Intro!$E$10&gt;7,ROUND((O19*(1+Expenses!$F$7))/1000,1)*1000,0)</f>
        <v>0</v>
      </c>
      <c r="R19" s="50"/>
      <c r="S19" s="60">
        <f>IF(Intro!$E$10&gt;8,ROUND((Q19*(1+Expenses!$F$7))/1000,1)*1000,0)</f>
        <v>0</v>
      </c>
      <c r="T19" s="50"/>
      <c r="U19" s="60">
        <f>IF(Intro!$E$10&gt;9,ROUND((S19*(1+Expenses!$F$7))/1000,1)*1000,0)</f>
        <v>0</v>
      </c>
    </row>
    <row r="20" spans="1:21" ht="12.75">
      <c r="A20" s="47">
        <v>11</v>
      </c>
      <c r="B20" s="48" t="s">
        <v>53</v>
      </c>
      <c r="C20" s="49">
        <f>Expenses!K26</f>
        <v>21700</v>
      </c>
      <c r="D20" s="50"/>
      <c r="E20" s="60">
        <f>IF(Intro!$E$10&gt;1,ROUND((C20*(1+Expenses!$F$7))/1000,1)*1000,0)</f>
        <v>22500</v>
      </c>
      <c r="F20" s="50"/>
      <c r="G20" s="60">
        <f>IF(Intro!$E$10&gt;2,ROUND((E20*(1+Expenses!$F$7))/1000,1)*1000,0)</f>
        <v>23300</v>
      </c>
      <c r="H20" s="50"/>
      <c r="I20" s="60">
        <f>IF(Intro!$E$10&gt;3,ROUND((G20*(1+Expenses!$F$7))/1000,1)*1000,0)</f>
        <v>24100</v>
      </c>
      <c r="J20" s="50"/>
      <c r="K20" s="60">
        <f>IF(Intro!$E$10&gt;4,ROUND((I20*(1+Expenses!$F$7))/1000,1)*1000,0)</f>
        <v>24900</v>
      </c>
      <c r="L20" s="80"/>
      <c r="M20" s="60">
        <f>IF(Intro!$E$10&gt;5,ROUND((K20*(1+Expenses!$F$7))/1000,1)*1000,0)</f>
        <v>25800</v>
      </c>
      <c r="N20" s="50"/>
      <c r="O20" s="60">
        <f>IF(Intro!$E$10&gt;6,ROUND((M20*(1+Expenses!$F$7))/1000,1)*1000,0)</f>
        <v>0</v>
      </c>
      <c r="P20" s="50"/>
      <c r="Q20" s="60">
        <f>IF(Intro!$E$10&gt;7,ROUND((O20*(1+Expenses!$F$7))/1000,1)*1000,0)</f>
        <v>0</v>
      </c>
      <c r="R20" s="50"/>
      <c r="S20" s="60">
        <f>IF(Intro!$E$10&gt;8,ROUND((Q20*(1+Expenses!$F$7))/1000,1)*1000,0)</f>
        <v>0</v>
      </c>
      <c r="T20" s="50"/>
      <c r="U20" s="60">
        <f>IF(Intro!$E$10&gt;9,ROUND((S20*(1+Expenses!$F$7))/1000,1)*1000,0)</f>
        <v>0</v>
      </c>
    </row>
    <row r="21" spans="1:21" ht="12.75">
      <c r="A21" s="47">
        <v>12</v>
      </c>
      <c r="B21" s="48" t="s">
        <v>54</v>
      </c>
      <c r="C21" s="49">
        <f>Expenses!K27</f>
        <v>33100</v>
      </c>
      <c r="D21" s="50"/>
      <c r="E21" s="60">
        <f>IF(Intro!$E$10&gt;1,ROUND((C21*(1+Expenses!$F$7))/1000,1)*1000,0)</f>
        <v>34300</v>
      </c>
      <c r="F21" s="50"/>
      <c r="G21" s="60">
        <f>IF(Intro!$E$10&gt;2,ROUND((E21*(1+Expenses!$F$7))/1000,1)*1000,0)</f>
        <v>35500</v>
      </c>
      <c r="H21" s="50"/>
      <c r="I21" s="60">
        <f>IF(Intro!$E$10&gt;3,ROUND((G21*(1+Expenses!$F$7))/1000,1)*1000,0)</f>
        <v>36700</v>
      </c>
      <c r="J21" s="50"/>
      <c r="K21" s="60">
        <f>IF(Intro!$E$10&gt;4,ROUND((I21*(1+Expenses!$F$7))/1000,1)*1000,0)</f>
        <v>38000</v>
      </c>
      <c r="L21" s="80"/>
      <c r="M21" s="60">
        <f>IF(Intro!$E$10&gt;5,ROUND((K21*(1+Expenses!$F$7))/1000,1)*1000,0)</f>
        <v>39300</v>
      </c>
      <c r="N21" s="50"/>
      <c r="O21" s="60">
        <f>IF(Intro!$E$10&gt;6,ROUND((M21*(1+Expenses!$F$7))/1000,1)*1000,0)</f>
        <v>0</v>
      </c>
      <c r="P21" s="50"/>
      <c r="Q21" s="60">
        <f>IF(Intro!$E$10&gt;7,ROUND((O21*(1+Expenses!$F$7))/1000,1)*1000,0)</f>
        <v>0</v>
      </c>
      <c r="R21" s="50"/>
      <c r="S21" s="60">
        <f>IF(Intro!$E$10&gt;8,ROUND((Q21*(1+Expenses!$F$7))/1000,1)*1000,0)</f>
        <v>0</v>
      </c>
      <c r="T21" s="50"/>
      <c r="U21" s="60">
        <f>IF(Intro!$E$10&gt;9,ROUND((S21*(1+Expenses!$F$7))/1000,1)*1000,0)</f>
        <v>0</v>
      </c>
    </row>
    <row r="22" spans="1:21" ht="12.75">
      <c r="A22" s="47">
        <v>13</v>
      </c>
      <c r="B22" s="48" t="s">
        <v>55</v>
      </c>
      <c r="C22" s="49">
        <f>Expenses!K28</f>
        <v>188300</v>
      </c>
      <c r="D22" s="50"/>
      <c r="E22" s="60">
        <f>IF(Intro!$E$10&gt;1,ROUND((C22*(1+Expenses!$F$7))/1000,1)*1000,0)</f>
        <v>194900</v>
      </c>
      <c r="F22" s="50"/>
      <c r="G22" s="60">
        <f>IF(Intro!$E$10&gt;2,ROUND((E22*(1+Expenses!$F$7))/1000,1)*1000,0)</f>
        <v>201700</v>
      </c>
      <c r="H22" s="50"/>
      <c r="I22" s="60">
        <f>IF(Intro!$E$10&gt;3,ROUND((G22*(1+Expenses!$F$7))/1000,1)*1000,0)</f>
        <v>208800</v>
      </c>
      <c r="J22" s="50"/>
      <c r="K22" s="60">
        <f>IF(Intro!$E$10&gt;4,ROUND((I22*(1+Expenses!$F$7))/1000,1)*1000,0)</f>
        <v>216100</v>
      </c>
      <c r="L22" s="80"/>
      <c r="M22" s="60">
        <f>IF(Intro!$E$10&gt;5,ROUND((K22*(1+Expenses!$F$7))/1000,1)*1000,0)</f>
        <v>223700</v>
      </c>
      <c r="N22" s="50"/>
      <c r="O22" s="60">
        <f>IF(Intro!$E$10&gt;6,ROUND((M22*(1+Expenses!$F$7))/1000,1)*1000,0)</f>
        <v>0</v>
      </c>
      <c r="P22" s="50"/>
      <c r="Q22" s="60">
        <f>IF(Intro!$E$10&gt;7,ROUND((O22*(1+Expenses!$F$7))/1000,1)*1000,0)</f>
        <v>0</v>
      </c>
      <c r="R22" s="50"/>
      <c r="S22" s="60">
        <f>IF(Intro!$E$10&gt;8,ROUND((Q22*(1+Expenses!$F$7))/1000,1)*1000,0)</f>
        <v>0</v>
      </c>
      <c r="T22" s="50"/>
      <c r="U22" s="60">
        <f>IF(Intro!$E$10&gt;9,ROUND((S22*(1+Expenses!$F$7))/1000,1)*1000,0)</f>
        <v>0</v>
      </c>
    </row>
    <row r="23" spans="1:21" ht="12.75">
      <c r="A23" s="47">
        <v>14</v>
      </c>
      <c r="B23" s="48" t="s">
        <v>56</v>
      </c>
      <c r="C23" s="55">
        <f>Expenses!K29</f>
        <v>300000</v>
      </c>
      <c r="D23" s="50"/>
      <c r="E23" s="61">
        <f>IF(Intro!$E$10&gt;1,ROUND((C23*(1+Expenses!G10))/1000,1)*1000,0)</f>
        <v>300000</v>
      </c>
      <c r="F23" s="80"/>
      <c r="G23" s="61">
        <f>IF(Intro!$E$10&gt;2,ROUND((E23*(1+Expenses!H10))/1000,1)*1000,0)</f>
        <v>300000</v>
      </c>
      <c r="H23" s="80"/>
      <c r="I23" s="61">
        <f>IF(Intro!$E$10&gt;3,ROUND((G23*(1+Expenses!I10))/1000,1)*1000,0)</f>
        <v>375000</v>
      </c>
      <c r="J23" s="80"/>
      <c r="K23" s="61">
        <f>IF(Intro!$E$10&gt;4,ROUND((I23*(1+Expenses!J10))/1000,1)*1000,0)</f>
        <v>375000</v>
      </c>
      <c r="L23" s="80"/>
      <c r="M23" s="61">
        <f>IF(Intro!$E$10&gt;5,ROUND((K23*(1+Expenses!K10))/1000,1)*1000,0)</f>
        <v>375000</v>
      </c>
      <c r="N23" s="80"/>
      <c r="O23" s="61">
        <f>IF(Intro!$E$10&gt;6,ROUND((M23*(1+Expenses!L10))/1000,1)*1000,0)</f>
        <v>0</v>
      </c>
      <c r="P23" s="80"/>
      <c r="Q23" s="61">
        <f>IF(Intro!$E$10&gt;7,ROUND((O23*(1+Expenses!M10))/1000,1)*1000,0)</f>
        <v>0</v>
      </c>
      <c r="R23" s="80"/>
      <c r="S23" s="61">
        <f>IF(Intro!$E$10&gt;8,ROUND((Q23*(1+Expenses!N10))/1000,1)*1000,0)</f>
        <v>0</v>
      </c>
      <c r="T23" s="80"/>
      <c r="U23" s="61">
        <f>IF(Intro!$E$10&gt;9,ROUND((S23*(1+Expenses!O10))/1000,1)*1000,0)</f>
        <v>0</v>
      </c>
    </row>
    <row r="24" spans="1:21" ht="12.75">
      <c r="A24" s="47"/>
      <c r="B24" s="39"/>
      <c r="C24" s="49"/>
      <c r="D24" s="50"/>
      <c r="E24" s="60"/>
      <c r="F24" s="80"/>
      <c r="G24" s="60"/>
      <c r="H24" s="80"/>
      <c r="I24" s="60"/>
      <c r="J24" s="80"/>
      <c r="K24" s="60"/>
      <c r="L24" s="80"/>
      <c r="M24" s="60"/>
      <c r="N24" s="80"/>
      <c r="O24" s="60"/>
      <c r="P24" s="80"/>
      <c r="Q24" s="60"/>
      <c r="R24" s="80"/>
      <c r="S24" s="60"/>
      <c r="T24" s="80"/>
      <c r="U24" s="60"/>
    </row>
    <row r="25" spans="1:21" ht="12.75">
      <c r="A25" s="47">
        <v>15</v>
      </c>
      <c r="B25" s="39" t="s">
        <v>78</v>
      </c>
      <c r="C25" s="55">
        <f>SUM(C16:C23)</f>
        <v>1006400</v>
      </c>
      <c r="D25" s="50"/>
      <c r="E25" s="55">
        <f aca="true" t="shared" si="1" ref="E25:U25">SUM(E16:E23)</f>
        <v>1037400</v>
      </c>
      <c r="F25" s="50"/>
      <c r="G25" s="55">
        <f t="shared" si="1"/>
        <v>1065000</v>
      </c>
      <c r="H25" s="50"/>
      <c r="I25" s="55">
        <f t="shared" si="1"/>
        <v>1163900</v>
      </c>
      <c r="J25" s="50"/>
      <c r="K25" s="55">
        <f t="shared" si="1"/>
        <v>1191500</v>
      </c>
      <c r="L25" s="50"/>
      <c r="M25" s="55">
        <f t="shared" si="1"/>
        <v>1220100</v>
      </c>
      <c r="N25" s="50"/>
      <c r="O25" s="55">
        <f t="shared" si="1"/>
        <v>0</v>
      </c>
      <c r="P25" s="50"/>
      <c r="Q25" s="55">
        <f t="shared" si="1"/>
        <v>0</v>
      </c>
      <c r="R25" s="50"/>
      <c r="S25" s="55">
        <f t="shared" si="1"/>
        <v>0</v>
      </c>
      <c r="T25" s="50"/>
      <c r="U25" s="55">
        <f t="shared" si="1"/>
        <v>0</v>
      </c>
    </row>
    <row r="26" spans="1:21" ht="12.75">
      <c r="A26" s="47"/>
      <c r="B26" s="3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3.5" thickBot="1">
      <c r="A27" s="47">
        <v>16</v>
      </c>
      <c r="B27" s="58" t="s">
        <v>79</v>
      </c>
      <c r="C27" s="81">
        <f>C13-C25</f>
        <v>1265700</v>
      </c>
      <c r="D27" s="82"/>
      <c r="E27" s="81">
        <f aca="true" t="shared" si="2" ref="E27:U27">E13-E25</f>
        <v>1438700</v>
      </c>
      <c r="F27" s="82"/>
      <c r="G27" s="81">
        <f t="shared" si="2"/>
        <v>1534800</v>
      </c>
      <c r="H27" s="82"/>
      <c r="I27" s="81">
        <f t="shared" si="2"/>
        <v>1470900</v>
      </c>
      <c r="J27" s="82"/>
      <c r="K27" s="81">
        <f t="shared" si="2"/>
        <v>1535500</v>
      </c>
      <c r="L27" s="82"/>
      <c r="M27" s="81">
        <f t="shared" si="2"/>
        <v>1602300</v>
      </c>
      <c r="N27" s="82"/>
      <c r="O27" s="81">
        <f t="shared" si="2"/>
        <v>0</v>
      </c>
      <c r="P27" s="82"/>
      <c r="Q27" s="81">
        <f t="shared" si="2"/>
        <v>0</v>
      </c>
      <c r="R27" s="82"/>
      <c r="S27" s="81">
        <f t="shared" si="2"/>
        <v>0</v>
      </c>
      <c r="T27" s="82"/>
      <c r="U27" s="81">
        <f t="shared" si="2"/>
        <v>0</v>
      </c>
    </row>
    <row r="28" spans="1:21" ht="13.5" thickTop="1">
      <c r="A28" s="47"/>
      <c r="B28" s="39"/>
      <c r="C28" s="80"/>
      <c r="D28" s="50"/>
      <c r="E28" s="80"/>
      <c r="F28" s="50"/>
      <c r="G28" s="80"/>
      <c r="H28" s="50"/>
      <c r="I28" s="80"/>
      <c r="J28" s="50"/>
      <c r="K28" s="80"/>
      <c r="L28" s="80"/>
      <c r="M28" s="80"/>
      <c r="N28" s="56"/>
      <c r="O28" s="39"/>
      <c r="P28" s="56"/>
      <c r="Q28" s="39"/>
      <c r="R28" s="56"/>
      <c r="S28" s="39"/>
      <c r="T28" s="56"/>
      <c r="U28" s="39"/>
    </row>
    <row r="29" spans="1:21" ht="12.75">
      <c r="A29" s="47"/>
      <c r="B29" s="39"/>
      <c r="D29" s="50"/>
      <c r="E29" s="80"/>
      <c r="F29" s="50"/>
      <c r="G29" s="80"/>
      <c r="H29" s="50"/>
      <c r="I29" s="80"/>
      <c r="J29" s="50"/>
      <c r="K29" s="80"/>
      <c r="L29" s="80"/>
      <c r="M29" s="80"/>
      <c r="N29" s="56"/>
      <c r="O29" s="39"/>
      <c r="P29" s="56"/>
      <c r="Q29" s="39"/>
      <c r="R29" s="56"/>
      <c r="S29" s="39"/>
      <c r="T29" s="56"/>
      <c r="U29" s="39"/>
    </row>
    <row r="30" spans="2:21" ht="12.75">
      <c r="B30" s="84" t="s">
        <v>80</v>
      </c>
      <c r="C30" s="80"/>
      <c r="D30" s="50"/>
      <c r="E30" s="80"/>
      <c r="F30" s="50"/>
      <c r="G30" s="80"/>
      <c r="H30" s="50"/>
      <c r="I30" s="80"/>
      <c r="J30" s="50"/>
      <c r="K30" s="80"/>
      <c r="L30" s="80"/>
      <c r="M30" s="80"/>
      <c r="N30" s="39"/>
      <c r="O30" s="39"/>
      <c r="P30" s="39"/>
      <c r="Q30" s="39"/>
      <c r="R30" s="39"/>
      <c r="S30" s="39"/>
      <c r="T30" s="56"/>
      <c r="U30" s="39"/>
    </row>
    <row r="31" spans="2:21" ht="5.25" customHeight="1">
      <c r="B31" s="1"/>
      <c r="C31" s="80"/>
      <c r="D31" s="50"/>
      <c r="E31" s="80"/>
      <c r="F31" s="50"/>
      <c r="G31" s="80"/>
      <c r="H31" s="50"/>
      <c r="I31" s="80"/>
      <c r="J31" s="50"/>
      <c r="K31" s="80"/>
      <c r="L31" s="80"/>
      <c r="M31" s="80"/>
      <c r="N31" s="39"/>
      <c r="O31" s="39"/>
      <c r="P31" s="39"/>
      <c r="Q31" s="39"/>
      <c r="R31" s="39"/>
      <c r="S31" s="39"/>
      <c r="T31" s="56"/>
      <c r="U31" s="39"/>
    </row>
    <row r="32" spans="1:21" ht="12.75">
      <c r="A32" s="39"/>
      <c r="B32" s="39"/>
      <c r="C32" s="45">
        <v>1</v>
      </c>
      <c r="D32" s="46"/>
      <c r="E32" s="45">
        <v>2</v>
      </c>
      <c r="F32" s="46"/>
      <c r="G32" s="45">
        <v>3</v>
      </c>
      <c r="H32" s="46"/>
      <c r="I32" s="45">
        <v>4</v>
      </c>
      <c r="J32" s="46"/>
      <c r="K32" s="45">
        <v>5</v>
      </c>
      <c r="L32" s="46"/>
      <c r="M32" s="45">
        <v>6</v>
      </c>
      <c r="N32" s="46"/>
      <c r="O32" s="45">
        <v>7</v>
      </c>
      <c r="P32" s="46"/>
      <c r="Q32" s="45">
        <v>8</v>
      </c>
      <c r="R32" s="46"/>
      <c r="S32" s="45">
        <v>9</v>
      </c>
      <c r="T32" s="46"/>
      <c r="U32" s="45">
        <v>10</v>
      </c>
    </row>
    <row r="33" spans="1:21" ht="12.75">
      <c r="A33" s="39"/>
      <c r="B33" s="39"/>
      <c r="C33" s="83">
        <f>C25/C13</f>
        <v>0.4429382509572642</v>
      </c>
      <c r="D33" s="50"/>
      <c r="E33" s="83">
        <f>IF(Intro!$E$10&gt;1,E25/E13,0)</f>
        <v>0.41896530834780504</v>
      </c>
      <c r="F33" s="50"/>
      <c r="G33" s="83">
        <f>IF(Intro!$E$10&gt;2,G25/G13,0)</f>
        <v>0.40964689591507036</v>
      </c>
      <c r="H33" s="50"/>
      <c r="I33" s="83">
        <f>IF(Intro!$E$10&gt;3,I25/I13,0)</f>
        <v>0.4417413086382268</v>
      </c>
      <c r="J33" s="50"/>
      <c r="K33" s="83">
        <f>IF(Intro!$E$10&gt;4,K25/K13,0)</f>
        <v>0.4369270260359369</v>
      </c>
      <c r="L33" s="80"/>
      <c r="M33" s="83">
        <f>IF(Intro!$E$10&gt;5,M25/M13,0)</f>
        <v>0.4322916666666667</v>
      </c>
      <c r="N33" s="39"/>
      <c r="O33" s="83">
        <f>IF(Intro!$E$10&gt;6,O25/O13,0)</f>
        <v>0</v>
      </c>
      <c r="P33" s="39"/>
      <c r="Q33" s="83">
        <f>IF(Intro!$E$10&gt;7,Q25/Q13,0)</f>
        <v>0</v>
      </c>
      <c r="R33" s="39"/>
      <c r="S33" s="83">
        <f>IF(Intro!$E$10&gt;8,S25/S13,0)</f>
        <v>0</v>
      </c>
      <c r="T33" s="39"/>
      <c r="U33" s="83">
        <f>IF(Intro!$E$10&gt;9,U25/U13,0)</f>
        <v>0</v>
      </c>
    </row>
    <row r="34" spans="1:21" ht="12.75">
      <c r="A34" s="39"/>
      <c r="B34" s="39"/>
      <c r="C34" s="80"/>
      <c r="D34" s="50"/>
      <c r="E34" s="80"/>
      <c r="F34" s="50"/>
      <c r="G34" s="80"/>
      <c r="H34" s="50"/>
      <c r="I34" s="80"/>
      <c r="J34" s="50"/>
      <c r="K34" s="80"/>
      <c r="L34" s="80"/>
      <c r="M34" s="80"/>
      <c r="N34" s="39"/>
      <c r="O34" s="39"/>
      <c r="P34" s="39"/>
      <c r="Q34" s="39"/>
      <c r="R34" s="39"/>
      <c r="S34" s="39"/>
      <c r="T34" s="39"/>
      <c r="U34" s="39"/>
    </row>
    <row r="35" spans="1:21" ht="12.75">
      <c r="A35" s="39"/>
      <c r="B35" s="39"/>
      <c r="C35" s="80"/>
      <c r="D35" s="50"/>
      <c r="E35" s="80"/>
      <c r="F35" s="50"/>
      <c r="G35" s="80"/>
      <c r="H35" s="50"/>
      <c r="I35" s="80"/>
      <c r="J35" s="50"/>
      <c r="K35" s="80"/>
      <c r="L35" s="80"/>
      <c r="M35" s="80"/>
      <c r="N35" s="39"/>
      <c r="O35" s="39"/>
      <c r="P35" s="39"/>
      <c r="Q35" s="39"/>
      <c r="R35" s="39"/>
      <c r="S35" s="39"/>
      <c r="T35" s="39"/>
      <c r="U35" s="39"/>
    </row>
    <row r="36" spans="1:21" ht="12.75">
      <c r="A36" s="39"/>
      <c r="B36" s="3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39"/>
      <c r="O36" s="39"/>
      <c r="P36" s="39"/>
      <c r="Q36" s="39"/>
      <c r="R36" s="39"/>
      <c r="S36" s="39"/>
      <c r="T36" s="39"/>
      <c r="U36" s="39"/>
    </row>
    <row r="37" spans="1:21" ht="12.75">
      <c r="A37" s="39"/>
      <c r="B37" s="3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39"/>
      <c r="O37" s="39"/>
      <c r="P37" s="39"/>
      <c r="Q37" s="39"/>
      <c r="R37" s="39"/>
      <c r="S37" s="39"/>
      <c r="T37" s="39"/>
      <c r="U37" s="39"/>
    </row>
    <row r="38" spans="1:21" ht="12.75">
      <c r="A38" s="39"/>
      <c r="B38" s="39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39"/>
      <c r="O38" s="39"/>
      <c r="P38" s="39"/>
      <c r="Q38" s="39"/>
      <c r="R38" s="39"/>
      <c r="S38" s="39"/>
      <c r="T38" s="39"/>
      <c r="U38" s="39"/>
    </row>
    <row r="39" spans="1:2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6.8515625" style="0" customWidth="1"/>
    <col min="3" max="3" width="8.7109375" style="0" customWidth="1"/>
    <col min="4" max="13" width="9.7109375" style="0" customWidth="1"/>
    <col min="14" max="21" width="8.7109375" style="0" customWidth="1"/>
  </cols>
  <sheetData>
    <row r="2" spans="1:23" ht="18">
      <c r="A2" s="47"/>
      <c r="B2" s="20" t="s">
        <v>90</v>
      </c>
      <c r="C2" s="57"/>
      <c r="D2" s="57"/>
      <c r="E2" s="209" t="s">
        <v>174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29"/>
      <c r="W2" s="29"/>
    </row>
    <row r="3" spans="1:23" ht="12.75">
      <c r="A3" s="47"/>
      <c r="B3" s="6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29"/>
      <c r="W3" s="29"/>
    </row>
    <row r="4" spans="1:23" ht="12.75">
      <c r="A4" s="47"/>
      <c r="B4" s="67" t="s">
        <v>97</v>
      </c>
      <c r="C4" s="50"/>
      <c r="D4" s="5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29"/>
      <c r="W4" s="29"/>
    </row>
    <row r="5" spans="1:23" ht="12.75">
      <c r="A5" s="47"/>
      <c r="B5" s="67" t="s">
        <v>98</v>
      </c>
      <c r="C5" s="50"/>
      <c r="D5" s="5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29"/>
      <c r="W5" s="29"/>
    </row>
    <row r="6" spans="1:23" ht="12.75">
      <c r="A6" s="47"/>
      <c r="B6" s="67" t="s">
        <v>99</v>
      </c>
      <c r="C6" s="50"/>
      <c r="D6" s="1" t="s">
        <v>272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9"/>
      <c r="W6" s="29"/>
    </row>
    <row r="7" spans="1:23" ht="12.75">
      <c r="A7" s="47"/>
      <c r="B7" s="67"/>
      <c r="C7" s="50"/>
      <c r="D7" s="5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29"/>
      <c r="W7" s="29"/>
    </row>
    <row r="8" spans="1:23" ht="12.75">
      <c r="A8" s="47"/>
      <c r="B8" s="67"/>
      <c r="C8" s="50"/>
      <c r="D8" s="5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29"/>
      <c r="W8" s="29"/>
    </row>
    <row r="9" spans="1:23" ht="12.75" customHeight="1">
      <c r="A9" s="90"/>
      <c r="D9" s="63"/>
      <c r="G9" s="80"/>
      <c r="H9" s="80"/>
      <c r="I9" s="80"/>
      <c r="J9" s="80"/>
      <c r="K9" s="80"/>
      <c r="M9" s="80"/>
      <c r="N9" s="80"/>
      <c r="O9" s="80"/>
      <c r="P9" s="80"/>
      <c r="Q9" s="80"/>
      <c r="R9" s="80"/>
      <c r="S9" s="80"/>
      <c r="T9" s="80"/>
      <c r="U9" s="80"/>
      <c r="V9" s="29"/>
      <c r="W9" s="29"/>
    </row>
    <row r="10" spans="1:23" ht="12.75" customHeight="1">
      <c r="A10" s="90"/>
      <c r="B10" s="91" t="s">
        <v>1</v>
      </c>
      <c r="C10" s="360">
        <v>8000000</v>
      </c>
      <c r="D10" s="361"/>
      <c r="E10" s="92"/>
      <c r="F10" s="34"/>
      <c r="G10" s="80"/>
      <c r="H10" s="50"/>
      <c r="I10" s="80"/>
      <c r="J10" s="50"/>
      <c r="K10" s="80"/>
      <c r="L10" s="109" t="s">
        <v>103</v>
      </c>
      <c r="M10" s="80"/>
      <c r="N10" s="50"/>
      <c r="O10" s="80"/>
      <c r="P10" s="50"/>
      <c r="Q10" s="80"/>
      <c r="R10" s="50"/>
      <c r="S10" s="80"/>
      <c r="T10" s="50"/>
      <c r="U10" s="80"/>
      <c r="V10" s="29"/>
      <c r="W10" s="29"/>
    </row>
    <row r="11" spans="1:23" ht="12.75" customHeight="1">
      <c r="A11" s="90"/>
      <c r="B11" s="91" t="s">
        <v>2</v>
      </c>
      <c r="C11" s="362">
        <v>20</v>
      </c>
      <c r="D11" s="365"/>
      <c r="E11" s="92" t="s">
        <v>85</v>
      </c>
      <c r="F11" s="34"/>
      <c r="G11" s="80"/>
      <c r="H11" s="50" t="s">
        <v>185</v>
      </c>
      <c r="I11" s="80"/>
      <c r="J11" s="50"/>
      <c r="K11" s="80"/>
      <c r="L11" s="80"/>
      <c r="M11" s="80"/>
      <c r="N11" s="50"/>
      <c r="O11" s="80"/>
      <c r="P11" s="50"/>
      <c r="Q11" s="80"/>
      <c r="R11" s="50"/>
      <c r="S11" s="80"/>
      <c r="T11" s="50"/>
      <c r="U11" s="80"/>
      <c r="V11" s="29"/>
      <c r="W11" s="29"/>
    </row>
    <row r="12" spans="1:23" ht="12.75" customHeight="1">
      <c r="A12" s="90"/>
      <c r="B12" s="91" t="s">
        <v>3</v>
      </c>
      <c r="C12" s="366">
        <v>0.08</v>
      </c>
      <c r="D12" s="365"/>
      <c r="E12" s="92" t="s">
        <v>84</v>
      </c>
      <c r="F12" s="34"/>
      <c r="G12" s="80"/>
      <c r="H12" s="94"/>
      <c r="I12" s="95"/>
      <c r="J12" s="110" t="s">
        <v>6</v>
      </c>
      <c r="K12" s="364">
        <f>PMT(C12/C13,C11*C13,-C10)</f>
        <v>66915.20551947725</v>
      </c>
      <c r="L12" s="364"/>
      <c r="M12" s="96"/>
      <c r="N12" s="80"/>
      <c r="O12" s="80"/>
      <c r="P12" s="80"/>
      <c r="Q12" s="80"/>
      <c r="R12" s="80"/>
      <c r="S12" s="80"/>
      <c r="T12" s="80"/>
      <c r="U12" s="80"/>
      <c r="V12" s="29"/>
      <c r="W12" s="29"/>
    </row>
    <row r="13" spans="1:23" ht="12.75" customHeight="1">
      <c r="A13" s="90"/>
      <c r="B13" s="91" t="s">
        <v>9</v>
      </c>
      <c r="C13" s="362">
        <v>12</v>
      </c>
      <c r="D13" s="363"/>
      <c r="E13" s="92" t="s">
        <v>10</v>
      </c>
      <c r="F13" s="93"/>
      <c r="G13" s="50"/>
      <c r="H13" s="97"/>
      <c r="I13" s="95"/>
      <c r="J13" s="110" t="s">
        <v>5</v>
      </c>
      <c r="K13" s="364">
        <f>K12*C13</f>
        <v>802982.466233727</v>
      </c>
      <c r="L13" s="364"/>
      <c r="M13" s="98"/>
      <c r="N13" s="50"/>
      <c r="O13" s="50"/>
      <c r="P13" s="50"/>
      <c r="Q13" s="50"/>
      <c r="R13" s="50"/>
      <c r="S13" s="50"/>
      <c r="T13" s="50"/>
      <c r="U13" s="50"/>
      <c r="V13" s="29"/>
      <c r="W13" s="29"/>
    </row>
    <row r="14" spans="1:23" ht="12.75">
      <c r="A14" s="47"/>
      <c r="B14" s="3"/>
      <c r="C14" s="3"/>
      <c r="E14" s="3"/>
      <c r="F14" s="3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29"/>
      <c r="W14" s="29"/>
    </row>
    <row r="15" spans="1:23" ht="12.75">
      <c r="A15" s="47"/>
      <c r="B15" s="3"/>
      <c r="C15" s="3"/>
      <c r="E15" s="3"/>
      <c r="F15" s="3"/>
      <c r="G15" s="50"/>
      <c r="H15" s="50"/>
      <c r="I15" s="50"/>
      <c r="K15" s="238" t="s">
        <v>208</v>
      </c>
      <c r="L15" s="220">
        <f>ROUND(K13/1000,1)*1000</f>
        <v>803000</v>
      </c>
      <c r="M15" s="239" t="s">
        <v>209</v>
      </c>
      <c r="N15" s="50"/>
      <c r="O15" s="50"/>
      <c r="P15" s="50"/>
      <c r="Q15" s="50"/>
      <c r="R15" s="50"/>
      <c r="S15" s="50"/>
      <c r="T15" s="50"/>
      <c r="U15" s="50"/>
      <c r="V15" s="29"/>
      <c r="W15" s="29"/>
    </row>
    <row r="16" spans="1:23" ht="12.75">
      <c r="A16" s="47"/>
      <c r="B16" s="3"/>
      <c r="C16" s="3"/>
      <c r="E16" s="3"/>
      <c r="F16" s="3"/>
      <c r="G16" s="50"/>
      <c r="H16" s="50"/>
      <c r="I16" s="50"/>
      <c r="K16" s="238"/>
      <c r="L16" s="220"/>
      <c r="M16" s="239"/>
      <c r="N16" s="50"/>
      <c r="O16" s="50"/>
      <c r="P16" s="50"/>
      <c r="Q16" s="50"/>
      <c r="R16" s="50"/>
      <c r="S16" s="50"/>
      <c r="T16" s="50"/>
      <c r="U16" s="50"/>
      <c r="V16" s="29"/>
      <c r="W16" s="29"/>
    </row>
    <row r="17" spans="1:23" ht="12.75">
      <c r="A17" s="47"/>
      <c r="B17" s="3"/>
      <c r="C17" s="3"/>
      <c r="E17" s="3"/>
      <c r="F17" s="3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29"/>
      <c r="W17" s="29"/>
    </row>
    <row r="18" spans="1:23" ht="12.75">
      <c r="A18" s="47"/>
      <c r="B18" s="84" t="s">
        <v>152</v>
      </c>
      <c r="C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29"/>
      <c r="W18" s="29"/>
    </row>
    <row r="19" spans="1:23" ht="12.75">
      <c r="A19" s="47"/>
      <c r="B19" s="39"/>
      <c r="D19" s="10">
        <v>1</v>
      </c>
      <c r="E19" s="10">
        <v>2</v>
      </c>
      <c r="F19" s="10">
        <v>3</v>
      </c>
      <c r="G19" s="10">
        <v>4</v>
      </c>
      <c r="H19" s="10">
        <v>5</v>
      </c>
      <c r="I19" s="10">
        <v>6</v>
      </c>
      <c r="J19" s="10">
        <v>7</v>
      </c>
      <c r="K19" s="10">
        <v>8</v>
      </c>
      <c r="L19" s="10">
        <v>9</v>
      </c>
      <c r="M19" s="10">
        <v>10</v>
      </c>
      <c r="N19" s="56"/>
      <c r="O19" s="56"/>
      <c r="P19" s="56"/>
      <c r="Q19" s="56"/>
      <c r="R19" s="56"/>
      <c r="S19" s="56"/>
      <c r="T19" s="56"/>
      <c r="U19" s="56"/>
      <c r="V19" s="29"/>
      <c r="W19" s="29"/>
    </row>
    <row r="20" spans="1:23" ht="12.75">
      <c r="A20" s="47"/>
      <c r="B20" s="39" t="s">
        <v>86</v>
      </c>
      <c r="C20" s="80"/>
      <c r="D20" s="51">
        <f>D22-D21</f>
        <v>633889.1622878383</v>
      </c>
      <c r="E20" s="51">
        <f aca="true" t="shared" si="0" ref="E20:M20">E22-E21</f>
        <v>619854.5014558793</v>
      </c>
      <c r="F20" s="51">
        <f t="shared" si="0"/>
        <v>604654.9706966546</v>
      </c>
      <c r="G20" s="51">
        <f t="shared" si="0"/>
        <v>588193.8863807083</v>
      </c>
      <c r="H20" s="51">
        <f t="shared" si="0"/>
        <v>570366.5401850217</v>
      </c>
      <c r="I20" s="51">
        <f t="shared" si="0"/>
        <v>551059.5330474074</v>
      </c>
      <c r="J20" s="51">
        <f t="shared" si="0"/>
        <v>0</v>
      </c>
      <c r="K20" s="51">
        <f t="shared" si="0"/>
        <v>0</v>
      </c>
      <c r="L20" s="51">
        <f t="shared" si="0"/>
        <v>0</v>
      </c>
      <c r="M20" s="51">
        <f t="shared" si="0"/>
        <v>0</v>
      </c>
      <c r="N20" s="56"/>
      <c r="O20" s="56"/>
      <c r="P20" s="56"/>
      <c r="Q20" s="56"/>
      <c r="R20" s="56"/>
      <c r="S20" s="56"/>
      <c r="T20" s="56"/>
      <c r="U20" s="56"/>
      <c r="V20" s="29"/>
      <c r="W20" s="29"/>
    </row>
    <row r="21" spans="2:23" ht="12.75">
      <c r="B21" s="39" t="s">
        <v>87</v>
      </c>
      <c r="C21" s="80"/>
      <c r="D21" s="101">
        <f>IF(Intro!$E$10&gt;0,$C$10-D24,0)</f>
        <v>169093.30394588877</v>
      </c>
      <c r="E21" s="101">
        <f>IF(Intro!$E$10&gt;1,D24-E24,0)</f>
        <v>183127.96477784775</v>
      </c>
      <c r="F21" s="101">
        <f>IF(Intro!$E$10&gt;2,E24-F24,0)</f>
        <v>198327.49553707242</v>
      </c>
      <c r="G21" s="101">
        <f>IF(Intro!$E$10&gt;3,F24-G24,0)</f>
        <v>214788.57985301875</v>
      </c>
      <c r="H21" s="101">
        <f>IF(Intro!$E$10&gt;4,G24-H24,0)</f>
        <v>232615.92604870535</v>
      </c>
      <c r="I21" s="101">
        <f>IF(Intro!$E$10&gt;5,H24-I24,0)</f>
        <v>251922.93318631966</v>
      </c>
      <c r="J21" s="101">
        <f>IF(Intro!$E$10&gt;6,I24-J24,0)</f>
        <v>0</v>
      </c>
      <c r="K21" s="101">
        <f>IF(Intro!$E$10&gt;7,J24-K24,0)</f>
        <v>0</v>
      </c>
      <c r="L21" s="101">
        <f>IF(Intro!$E$10&gt;8,K24-L24,0)</f>
        <v>0</v>
      </c>
      <c r="M21" s="101">
        <f>IF(Intro!$E$10&gt;9,L24-M24,0)</f>
        <v>0</v>
      </c>
      <c r="N21" s="56"/>
      <c r="O21" s="56"/>
      <c r="P21" s="56"/>
      <c r="Q21" s="56"/>
      <c r="R21" s="56"/>
      <c r="S21" s="56"/>
      <c r="T21" s="56"/>
      <c r="U21" s="56"/>
      <c r="V21" s="29"/>
      <c r="W21" s="29"/>
    </row>
    <row r="22" spans="2:23" ht="12.75" customHeight="1">
      <c r="B22" s="39" t="s">
        <v>88</v>
      </c>
      <c r="C22" s="80"/>
      <c r="D22" s="51">
        <f>IF(Intro!$E$10&gt;0,$K$12*$C$13,0)</f>
        <v>802982.466233727</v>
      </c>
      <c r="E22" s="51">
        <f>IF(Intro!$E$10&gt;1,$K$12*$C$13,0)</f>
        <v>802982.466233727</v>
      </c>
      <c r="F22" s="51">
        <f>IF(Intro!$E$10&gt;2,$K$12*$C$13,0)</f>
        <v>802982.466233727</v>
      </c>
      <c r="G22" s="51">
        <f>IF(Intro!$E$10&gt;3,$K$12*$C$13,0)</f>
        <v>802982.466233727</v>
      </c>
      <c r="H22" s="51">
        <f>IF(Intro!$E$10&gt;4,$K$12*$C$13,0)</f>
        <v>802982.466233727</v>
      </c>
      <c r="I22" s="51">
        <f>IF(Intro!$E$10&gt;5,$K$12*$C$13,0)</f>
        <v>802982.466233727</v>
      </c>
      <c r="J22" s="51">
        <f>IF(Intro!$E$10&gt;6,$K$12*$C$13,0)</f>
        <v>0</v>
      </c>
      <c r="K22" s="51">
        <f>IF(Intro!$E$10&gt;7,$K$12*$C$13,0)</f>
        <v>0</v>
      </c>
      <c r="L22" s="51">
        <f>IF(Intro!$E$10&gt;8,$K$12*$C$13,0)</f>
        <v>0</v>
      </c>
      <c r="M22" s="51">
        <f>IF(Intro!$E$10&gt;9,$K$12*$C$13,0)</f>
        <v>0</v>
      </c>
      <c r="N22" s="56"/>
      <c r="O22" s="56"/>
      <c r="P22" s="56"/>
      <c r="Q22" s="56"/>
      <c r="R22" s="56"/>
      <c r="S22" s="56"/>
      <c r="T22" s="56"/>
      <c r="U22" s="56"/>
      <c r="V22" s="29"/>
      <c r="W22" s="29"/>
    </row>
    <row r="23" spans="1:23" ht="12.75">
      <c r="A23" s="39"/>
      <c r="B23" s="3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46"/>
      <c r="O23" s="46"/>
      <c r="P23" s="46"/>
      <c r="Q23" s="46"/>
      <c r="R23" s="46"/>
      <c r="S23" s="46"/>
      <c r="T23" s="46"/>
      <c r="U23" s="46"/>
      <c r="V23" s="29"/>
      <c r="W23" s="29"/>
    </row>
    <row r="24" spans="1:23" ht="12.75">
      <c r="A24" s="39"/>
      <c r="B24" s="39" t="s">
        <v>89</v>
      </c>
      <c r="C24" s="83"/>
      <c r="D24" s="51">
        <f>IF(Intro!$E$10&gt;0,PV($C$12/$C$13,$C11*$C$13-D19*$C$13,-$K$12),0)</f>
        <v>7830906.696054111</v>
      </c>
      <c r="E24" s="51">
        <f>IF(Intro!$E$10&gt;1,PV($C$12/$C$13,$C11*$C$13-E19*$C$13,-$K$12),0)</f>
        <v>7647778.7312762635</v>
      </c>
      <c r="F24" s="51">
        <f>IF(Intro!$E$10&gt;2,PV($C$12/$C$13,$C11*$C$13-F19*$C$13,-$K$12),0)</f>
        <v>7449451.235739191</v>
      </c>
      <c r="G24" s="51">
        <f>IF(Intro!$E$10&gt;3,PV($C$12/$C$13,$C11*$C$13-G19*$C$13,-$K$12),0)</f>
        <v>7234662.655886172</v>
      </c>
      <c r="H24" s="51">
        <f>IF(Intro!$E$10&gt;4,PV($C$12/$C$13,$C11*$C$13-H19*$C$13,-$K$12),0)</f>
        <v>7002046.729837467</v>
      </c>
      <c r="I24" s="51">
        <f>IF(Intro!$E$10&gt;5,PV($C$12/$C$13,$C11*$C$13-I19*$C$13,-$K$12),0)</f>
        <v>6750123.796651147</v>
      </c>
      <c r="J24" s="51">
        <f>IF(Intro!$E$10&gt;6,PV($C$12/$C$13,$C11*$C$13-J19*$C$13,-$K$12),0)</f>
        <v>0</v>
      </c>
      <c r="K24" s="51">
        <f>IF(Intro!$E$10&gt;7,PV($C$12/$C$13,$C11*$C$13-K19*$C$13,-$K$12),0)</f>
        <v>0</v>
      </c>
      <c r="L24" s="51">
        <f>IF(Intro!$E$10&gt;8,PV($C$12/$C$13,$C11*$C$13-L19*$C$13,-$K$12),0)</f>
        <v>0</v>
      </c>
      <c r="M24" s="51">
        <f>IF(Intro!$E$10&gt;9,PV($C$12/$C$13,$C11*$C$13-M19*$C$13,-$K$12),0)</f>
        <v>0</v>
      </c>
      <c r="N24" s="56"/>
      <c r="O24" s="83"/>
      <c r="P24" s="56"/>
      <c r="Q24" s="83"/>
      <c r="R24" s="56"/>
      <c r="S24" s="83"/>
      <c r="T24" s="56"/>
      <c r="U24" s="83"/>
      <c r="V24" s="29"/>
      <c r="W24" s="29"/>
    </row>
    <row r="25" spans="1:23" ht="12.75">
      <c r="A25" s="39"/>
      <c r="B25" s="100"/>
      <c r="C25" s="80"/>
      <c r="E25" s="80"/>
      <c r="F25" s="50"/>
      <c r="G25" s="80"/>
      <c r="H25" s="50"/>
      <c r="I25" s="80"/>
      <c r="J25" s="50"/>
      <c r="K25" s="80"/>
      <c r="L25" s="80"/>
      <c r="M25" s="80"/>
      <c r="N25" s="56"/>
      <c r="O25" s="56"/>
      <c r="P25" s="56"/>
      <c r="Q25" s="56"/>
      <c r="R25" s="56"/>
      <c r="S25" s="56"/>
      <c r="T25" s="56"/>
      <c r="U25" s="56"/>
      <c r="V25" s="29"/>
      <c r="W25" s="29"/>
    </row>
    <row r="26" spans="1:23" ht="12.75">
      <c r="A26" s="39"/>
      <c r="B26" s="39"/>
      <c r="C26" s="80"/>
      <c r="D26" s="50"/>
      <c r="E26" s="80"/>
      <c r="F26" s="50"/>
      <c r="G26" s="80"/>
      <c r="H26" s="50"/>
      <c r="I26" s="80"/>
      <c r="J26" s="50"/>
      <c r="K26" s="80"/>
      <c r="L26" s="80"/>
      <c r="M26" s="80"/>
      <c r="N26" s="56"/>
      <c r="O26" s="56"/>
      <c r="P26" s="56"/>
      <c r="Q26" s="56"/>
      <c r="R26" s="56"/>
      <c r="S26" s="56"/>
      <c r="T26" s="56"/>
      <c r="U26" s="56"/>
      <c r="V26" s="29"/>
      <c r="W26" s="29"/>
    </row>
    <row r="27" spans="1:23" ht="12.75">
      <c r="A27" s="39"/>
      <c r="B27" s="39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29"/>
      <c r="W27" s="29"/>
    </row>
    <row r="28" spans="1:23" ht="12.75">
      <c r="A28" s="39"/>
      <c r="B28" s="3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6"/>
      <c r="O28" s="56"/>
      <c r="P28" s="56"/>
      <c r="Q28" s="56"/>
      <c r="R28" s="56"/>
      <c r="S28" s="56"/>
      <c r="T28" s="56"/>
      <c r="U28" s="56"/>
      <c r="V28" s="29"/>
      <c r="W28" s="29"/>
    </row>
    <row r="29" spans="1:23" ht="12.75">
      <c r="A29" s="39"/>
      <c r="B29" s="3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29"/>
      <c r="W29" s="29"/>
    </row>
    <row r="30" spans="1:23" ht="12.75">
      <c r="A30" s="39"/>
      <c r="B30" s="39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29"/>
      <c r="W30" s="29"/>
    </row>
    <row r="31" spans="1:23" ht="12.75">
      <c r="A31" s="39"/>
      <c r="B31" s="3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29"/>
      <c r="W31" s="29"/>
    </row>
    <row r="32" spans="1:2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</sheetData>
  <mergeCells count="6">
    <mergeCell ref="C10:D10"/>
    <mergeCell ref="C13:D13"/>
    <mergeCell ref="K12:L12"/>
    <mergeCell ref="K13:L13"/>
    <mergeCell ref="C11:D11"/>
    <mergeCell ref="C12:D1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0.851562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</cols>
  <sheetData>
    <row r="2" spans="2:7" ht="18">
      <c r="B2" s="20" t="s">
        <v>104</v>
      </c>
      <c r="D2" s="44"/>
      <c r="G2" s="208" t="s">
        <v>174</v>
      </c>
    </row>
    <row r="3" spans="2:4" ht="9" customHeight="1">
      <c r="B3" s="67"/>
      <c r="D3" s="44"/>
    </row>
    <row r="4" spans="2:4" ht="12.75" customHeight="1">
      <c r="B4" s="67" t="s">
        <v>105</v>
      </c>
      <c r="D4" s="44"/>
    </row>
    <row r="5" spans="2:4" ht="12.75" customHeight="1">
      <c r="B5" s="67" t="s">
        <v>106</v>
      </c>
      <c r="D5" s="44"/>
    </row>
    <row r="6" spans="2:4" ht="12.75" customHeight="1">
      <c r="B6" s="1" t="s">
        <v>269</v>
      </c>
      <c r="D6" s="44"/>
    </row>
    <row r="7" spans="2:4" ht="12.75" customHeight="1">
      <c r="B7" s="1"/>
      <c r="D7" s="44"/>
    </row>
    <row r="8" spans="2:20" ht="12.75">
      <c r="B8" s="84" t="s">
        <v>100</v>
      </c>
      <c r="N8" s="29"/>
      <c r="P8" s="29"/>
      <c r="R8" s="29"/>
      <c r="T8" s="29"/>
    </row>
    <row r="9" spans="1:21" ht="12.75">
      <c r="A9" s="39"/>
      <c r="B9" s="39"/>
      <c r="C9" s="45">
        <v>1</v>
      </c>
      <c r="D9" s="46"/>
      <c r="E9" s="45">
        <v>2</v>
      </c>
      <c r="F9" s="46"/>
      <c r="G9" s="45">
        <v>3</v>
      </c>
      <c r="H9" s="46"/>
      <c r="I9" s="45">
        <v>4</v>
      </c>
      <c r="J9" s="46"/>
      <c r="K9" s="45">
        <v>5</v>
      </c>
      <c r="L9" s="46"/>
      <c r="M9" s="45">
        <v>6</v>
      </c>
      <c r="N9" s="46"/>
      <c r="O9" s="45">
        <v>7</v>
      </c>
      <c r="P9" s="46"/>
      <c r="Q9" s="45">
        <v>8</v>
      </c>
      <c r="R9" s="46"/>
      <c r="S9" s="45">
        <v>9</v>
      </c>
      <c r="T9" s="46"/>
      <c r="U9" s="45">
        <v>10</v>
      </c>
    </row>
    <row r="10" spans="1:21" ht="12.75">
      <c r="A10" s="47"/>
      <c r="B10" s="48" t="s">
        <v>23</v>
      </c>
      <c r="C10" s="49">
        <f>Intro!O30</f>
        <v>2346100</v>
      </c>
      <c r="D10" s="50"/>
      <c r="E10" s="51">
        <f>IF(Intro!$E$10&gt;1,ROUND((C10*(1+Intro!G21))/1000,1)*1000,0)</f>
        <v>2463400</v>
      </c>
      <c r="F10" s="52"/>
      <c r="G10" s="51">
        <f>IF(Intro!$E$10&gt;2,ROUND((E10*(1+Intro!H21))/1000,1)*1000,0)</f>
        <v>2586600</v>
      </c>
      <c r="H10" s="52"/>
      <c r="I10" s="51">
        <f>IF(Intro!$E$10&gt;3,ROUND((G10*(1+Intro!I21))/1000,1)*1000,0)</f>
        <v>2677100</v>
      </c>
      <c r="J10" s="52"/>
      <c r="K10" s="51">
        <f>IF(Intro!$E$10&gt;4,ROUND((I10*(1+Intro!J21))/1000,1)*1000,0)</f>
        <v>2770800</v>
      </c>
      <c r="L10" s="52"/>
      <c r="M10" s="51">
        <f>IF(Intro!$E$10&gt;5,ROUND((K10*(1+Intro!K21))/1000,1)*1000,0)</f>
        <v>2867800</v>
      </c>
      <c r="N10" s="52"/>
      <c r="O10" s="51">
        <f>IF(Intro!$E$10&gt;6,ROUND((M10*(1+Intro!L21))/1000,1)*1000,0)</f>
        <v>0</v>
      </c>
      <c r="P10" s="52"/>
      <c r="Q10" s="51">
        <f>IF(Intro!$E$10&gt;7,ROUND((O10*(1+Intro!M21))/1000,1)*1000,0)</f>
        <v>0</v>
      </c>
      <c r="R10" s="52"/>
      <c r="S10" s="51">
        <f>IF(Intro!$E$10&gt;8,ROUND((Q10*(1+Intro!N21))/1000,1)*1000,0)</f>
        <v>0</v>
      </c>
      <c r="T10" s="52"/>
      <c r="U10" s="51">
        <f>IF(Intro!$E$10&gt;9,ROUND((S10*(1+Intro!O21))/1000,1)*1000,0)</f>
        <v>0</v>
      </c>
    </row>
    <row r="11" spans="1:21" ht="12.75">
      <c r="A11" s="47"/>
      <c r="B11" s="48" t="s">
        <v>47</v>
      </c>
      <c r="C11" s="53">
        <f>ROUND((Intro!G25*C10)/1000,1)*1000</f>
        <v>176000</v>
      </c>
      <c r="D11" s="54"/>
      <c r="E11" s="53">
        <f>ROUND((Intro!H25*E10)/1000,1)*1000</f>
        <v>98500</v>
      </c>
      <c r="F11" s="54"/>
      <c r="G11" s="53">
        <f>ROUND((Intro!I25*G10)/1000,1)*1000</f>
        <v>103500</v>
      </c>
      <c r="H11" s="54"/>
      <c r="I11" s="53">
        <f>ROUND((Intro!J25*I10)/1000,1)*1000</f>
        <v>160600</v>
      </c>
      <c r="J11" s="54"/>
      <c r="K11" s="53">
        <f>ROUND((Intro!K25*K10)/1000,1)*1000</f>
        <v>166200</v>
      </c>
      <c r="L11" s="54"/>
      <c r="M11" s="53">
        <f>ROUND((Intro!L25*M10)/1000,1)*1000</f>
        <v>172100</v>
      </c>
      <c r="N11" s="54"/>
      <c r="O11" s="53">
        <f>ROUND((Intro!M25*O10)/1000,1)*1000</f>
        <v>0</v>
      </c>
      <c r="P11" s="54"/>
      <c r="Q11" s="53">
        <f>ROUND((Intro!N25*Q10)/1000,1)*1000</f>
        <v>0</v>
      </c>
      <c r="R11" s="54"/>
      <c r="S11" s="53">
        <f>ROUND((Intro!O25*S10)/1000,1)*1000</f>
        <v>0</v>
      </c>
      <c r="T11" s="54"/>
      <c r="U11" s="53">
        <f>ROUND((Intro!P25*U10)/1000,1)*1000</f>
        <v>0</v>
      </c>
    </row>
    <row r="12" spans="1:21" ht="12.75">
      <c r="A12" s="47"/>
      <c r="B12" s="39"/>
      <c r="C12" s="52">
        <f>C10-C11</f>
        <v>2170100</v>
      </c>
      <c r="D12" s="52"/>
      <c r="E12" s="52">
        <f>E10-E11</f>
        <v>2364900</v>
      </c>
      <c r="F12" s="52"/>
      <c r="G12" s="52">
        <f>G10-G11</f>
        <v>2483100</v>
      </c>
      <c r="H12" s="52"/>
      <c r="I12" s="52">
        <f>I10-I11</f>
        <v>2516500</v>
      </c>
      <c r="J12" s="52"/>
      <c r="K12" s="52">
        <f>K10-K11</f>
        <v>2604600</v>
      </c>
      <c r="L12" s="52"/>
      <c r="M12" s="52">
        <f>M10-M11</f>
        <v>2695700</v>
      </c>
      <c r="N12" s="52"/>
      <c r="O12" s="52">
        <f>O10-O11</f>
        <v>0</v>
      </c>
      <c r="P12" s="52"/>
      <c r="Q12" s="52">
        <f>Q10-Q11</f>
        <v>0</v>
      </c>
      <c r="R12" s="52"/>
      <c r="S12" s="52">
        <f>S10-S11</f>
        <v>0</v>
      </c>
      <c r="T12" s="52"/>
      <c r="U12" s="52">
        <f>U10-U11</f>
        <v>0</v>
      </c>
    </row>
    <row r="13" spans="1:21" ht="12.75">
      <c r="A13" s="47"/>
      <c r="B13" s="48" t="s">
        <v>48</v>
      </c>
      <c r="C13" s="55">
        <f>ROUND((C12*Intro!$F$28)/1000,1)*1000</f>
        <v>102000</v>
      </c>
      <c r="D13" s="50"/>
      <c r="E13" s="55">
        <f>ROUND((E12*Intro!$F$28)/1000,1)*1000</f>
        <v>111200</v>
      </c>
      <c r="F13" s="50"/>
      <c r="G13" s="55">
        <f>ROUND((G12*Intro!$F$28)/1000,1)*1000</f>
        <v>116700</v>
      </c>
      <c r="H13" s="50"/>
      <c r="I13" s="55">
        <f>ROUND((I12*Intro!$F$28)/1000,1)*1000</f>
        <v>118300</v>
      </c>
      <c r="J13" s="50"/>
      <c r="K13" s="55">
        <f>ROUND((K12*Intro!$F$28)/1000,1)*1000</f>
        <v>122400</v>
      </c>
      <c r="L13" s="50"/>
      <c r="M13" s="55">
        <f>ROUND((M12*Intro!$F$28)/1000,1)*1000</f>
        <v>126700</v>
      </c>
      <c r="N13" s="50"/>
      <c r="O13" s="55">
        <f>ROUND((O12*Intro!$F$28)/1000,1)*1000</f>
        <v>0</v>
      </c>
      <c r="P13" s="50"/>
      <c r="Q13" s="55">
        <f>ROUND((Q12*Intro!$F$28)/1000,1)*1000</f>
        <v>0</v>
      </c>
      <c r="R13" s="50"/>
      <c r="S13" s="55">
        <f>ROUND((S12*Intro!$F$28)/1000,1)*1000</f>
        <v>0</v>
      </c>
      <c r="T13" s="50"/>
      <c r="U13" s="55">
        <f>ROUND((U12*Intro!$F$28)/1000,1)*1000</f>
        <v>0</v>
      </c>
    </row>
    <row r="14" spans="1:21" ht="12.75">
      <c r="A14" s="47"/>
      <c r="B14" s="48" t="s">
        <v>46</v>
      </c>
      <c r="C14" s="57">
        <f>C12+C13</f>
        <v>2272100</v>
      </c>
      <c r="D14" s="57"/>
      <c r="E14" s="57">
        <f>E12+E13</f>
        <v>2476100</v>
      </c>
      <c r="F14" s="57"/>
      <c r="G14" s="57">
        <f>G12+G13</f>
        <v>2599800</v>
      </c>
      <c r="H14" s="57"/>
      <c r="I14" s="57">
        <f>I12+I13</f>
        <v>2634800</v>
      </c>
      <c r="J14" s="57"/>
      <c r="K14" s="57">
        <f>K12+K13</f>
        <v>2727000</v>
      </c>
      <c r="L14" s="57"/>
      <c r="M14" s="57">
        <f>M12+M13</f>
        <v>2822400</v>
      </c>
      <c r="N14" s="57"/>
      <c r="O14" s="57">
        <f>O12+O13</f>
        <v>0</v>
      </c>
      <c r="P14" s="57"/>
      <c r="Q14" s="57">
        <f>Q12+Q13</f>
        <v>0</v>
      </c>
      <c r="R14" s="57"/>
      <c r="S14" s="57">
        <f>S12+S13</f>
        <v>0</v>
      </c>
      <c r="T14" s="57"/>
      <c r="U14" s="57">
        <f>U12+U13</f>
        <v>0</v>
      </c>
    </row>
    <row r="15" spans="1:21" ht="12.75">
      <c r="A15" s="47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ht="12.75">
      <c r="A16" s="47"/>
      <c r="B16" s="58" t="s">
        <v>45</v>
      </c>
      <c r="C16" s="39"/>
      <c r="D16" s="56"/>
      <c r="E16" s="39"/>
      <c r="F16" s="56"/>
      <c r="G16" s="39"/>
      <c r="H16" s="56"/>
      <c r="I16" s="39"/>
      <c r="J16" s="56"/>
      <c r="K16" s="39"/>
      <c r="L16" s="56"/>
      <c r="M16" s="39"/>
      <c r="N16" s="56"/>
      <c r="O16" s="39"/>
      <c r="P16" s="56"/>
      <c r="Q16" s="39"/>
      <c r="R16" s="56"/>
      <c r="S16" s="39"/>
      <c r="T16" s="56"/>
      <c r="U16" s="39"/>
    </row>
    <row r="17" spans="1:21" ht="12.75">
      <c r="A17" s="47"/>
      <c r="B17" s="48" t="s">
        <v>49</v>
      </c>
      <c r="C17" s="49">
        <f>Expenses!K22</f>
        <v>113600</v>
      </c>
      <c r="D17" s="50"/>
      <c r="E17" s="60">
        <f>ROUND((E14*Expenses!$L$7)/1000,1)*1000</f>
        <v>123800</v>
      </c>
      <c r="F17" s="80"/>
      <c r="G17" s="60">
        <f>ROUND((G14*Expenses!$L$7)/1000,1)*1000</f>
        <v>130000</v>
      </c>
      <c r="H17" s="80"/>
      <c r="I17" s="60">
        <f>ROUND((I14*Expenses!$L$7)/1000,1)*1000</f>
        <v>131700</v>
      </c>
      <c r="J17" s="80"/>
      <c r="K17" s="60">
        <f>ROUND((K14*Expenses!$L$7)/1000,1)*1000</f>
        <v>136400</v>
      </c>
      <c r="L17" s="80"/>
      <c r="M17" s="60">
        <f>ROUND((M14*Expenses!$L$7)/1000,1)*1000</f>
        <v>141100</v>
      </c>
      <c r="N17" s="80"/>
      <c r="O17" s="60">
        <f>ROUND((O14*Expenses!$L$7)/1000,1)*1000</f>
        <v>0</v>
      </c>
      <c r="P17" s="80"/>
      <c r="Q17" s="60">
        <f>ROUND((Q14*Expenses!$L$7)/1000,1)*1000</f>
        <v>0</v>
      </c>
      <c r="R17" s="80"/>
      <c r="S17" s="60">
        <f>ROUND((S14*Expenses!$L$7)/1000,1)*1000</f>
        <v>0</v>
      </c>
      <c r="T17" s="80"/>
      <c r="U17" s="60">
        <f>ROUND((U14*Expenses!$L$7)/1000,1)*1000</f>
        <v>0</v>
      </c>
    </row>
    <row r="18" spans="1:21" ht="12.75">
      <c r="A18" s="47"/>
      <c r="B18" s="48" t="s">
        <v>50</v>
      </c>
      <c r="C18" s="49">
        <f>Expenses!K23</f>
        <v>204000</v>
      </c>
      <c r="D18" s="50"/>
      <c r="E18" s="60">
        <f>IF(Intro!$E$10&gt;1,ROUND((C18*(1+Expenses!$F$7))/1000,1)*1000,0)</f>
        <v>211100</v>
      </c>
      <c r="F18" s="80"/>
      <c r="G18" s="60">
        <f>IF(Intro!$E$10&gt;2,ROUND((E18*(1+Expenses!$F$7))/1000,1)*1000,0)</f>
        <v>218500</v>
      </c>
      <c r="H18" s="80"/>
      <c r="I18" s="60">
        <f>IF(Intro!$E$10&gt;3,ROUND((G18*(1+Expenses!$F$7))/1000,1)*1000,0)</f>
        <v>226100</v>
      </c>
      <c r="J18" s="80"/>
      <c r="K18" s="60">
        <f>IF(Intro!$E$10&gt;4,ROUND((I18*(1+Expenses!$F$7))/1000,1)*1000,0)</f>
        <v>234000</v>
      </c>
      <c r="L18" s="80"/>
      <c r="M18" s="60">
        <f>IF(Intro!$E$10&gt;5,ROUND((K18*(1+Expenses!$F$7))/1000,1)*1000,0)</f>
        <v>242200</v>
      </c>
      <c r="N18" s="80"/>
      <c r="O18" s="60">
        <f>IF(Intro!$E$10&gt;6,ROUND((M18*(1+Expenses!$F$7))/1000,1)*1000,0)</f>
        <v>0</v>
      </c>
      <c r="P18" s="80"/>
      <c r="Q18" s="60">
        <f>IF(Intro!$E$10&gt;7,ROUND((O18*(1+Expenses!$F$7))/1000,1)*1000,0)</f>
        <v>0</v>
      </c>
      <c r="R18" s="80"/>
      <c r="S18" s="60">
        <f>IF(Intro!$E$10&gt;8,ROUND((Q18*(1+Expenses!$F$7))/1000,1)*1000,0)</f>
        <v>0</v>
      </c>
      <c r="T18" s="80"/>
      <c r="U18" s="60">
        <f>IF(Intro!$E$10&gt;9,ROUND((S18*(1+Expenses!$F$7))/1000,1)*1000,0)</f>
        <v>0</v>
      </c>
    </row>
    <row r="19" spans="1:21" ht="12.75">
      <c r="A19" s="47"/>
      <c r="B19" s="48" t="s">
        <v>51</v>
      </c>
      <c r="C19" s="49">
        <f>Expenses!K24</f>
        <v>109000</v>
      </c>
      <c r="D19" s="50"/>
      <c r="E19" s="60">
        <f>IF(Intro!$E$10&gt;1,ROUND((C19*(1+Expenses!$F$7))/1000,1)*1000,0)</f>
        <v>112800</v>
      </c>
      <c r="F19" s="50"/>
      <c r="G19" s="60">
        <f>IF(Intro!$E$10&gt;2,ROUND((E19*(1+Expenses!$F$7))/1000,1)*1000,0)</f>
        <v>116700</v>
      </c>
      <c r="H19" s="50"/>
      <c r="I19" s="60">
        <f>IF(Intro!$E$10&gt;3,ROUND((G19*(1+Expenses!$F$7))/1000,1)*1000,0)</f>
        <v>120800</v>
      </c>
      <c r="J19" s="50"/>
      <c r="K19" s="60">
        <f>IF(Intro!$E$10&gt;4,ROUND((I19*(1+Expenses!$F$7))/1000,1)*1000,0)</f>
        <v>125000</v>
      </c>
      <c r="L19" s="80"/>
      <c r="M19" s="60">
        <f>IF(Intro!$E$10&gt;5,ROUND((K19*(1+Expenses!$F$7))/1000,1)*1000,0)</f>
        <v>129400</v>
      </c>
      <c r="N19" s="50"/>
      <c r="O19" s="60">
        <f>IF(Intro!$E$10&gt;6,ROUND((M19*(1+Expenses!$F$7))/1000,1)*1000,0)</f>
        <v>0</v>
      </c>
      <c r="P19" s="50"/>
      <c r="Q19" s="60">
        <f>IF(Intro!$E$10&gt;7,ROUND((O19*(1+Expenses!$F$7))/1000,1)*1000,0)</f>
        <v>0</v>
      </c>
      <c r="R19" s="50"/>
      <c r="S19" s="60">
        <f>IF(Intro!$E$10&gt;8,ROUND((Q19*(1+Expenses!$F$7))/1000,1)*1000,0)</f>
        <v>0</v>
      </c>
      <c r="T19" s="50"/>
      <c r="U19" s="60">
        <f>IF(Intro!$E$10&gt;9,ROUND((S19*(1+Expenses!$F$7))/1000,1)*1000,0)</f>
        <v>0</v>
      </c>
    </row>
    <row r="20" spans="1:21" ht="12.75">
      <c r="A20" s="47"/>
      <c r="B20" s="48" t="s">
        <v>52</v>
      </c>
      <c r="C20" s="49">
        <f>Expenses!K25</f>
        <v>36700</v>
      </c>
      <c r="D20" s="50"/>
      <c r="E20" s="60">
        <f>IF(Intro!$E$10&gt;1,ROUND((C20*(1+Expenses!$F$7))/1000,1)*1000,0)</f>
        <v>38000</v>
      </c>
      <c r="F20" s="50"/>
      <c r="G20" s="60">
        <f>IF(Intro!$E$10&gt;2,ROUND((E20*(1+Expenses!$F$7))/1000,1)*1000,0)</f>
        <v>39300</v>
      </c>
      <c r="H20" s="50"/>
      <c r="I20" s="60">
        <f>IF(Intro!$E$10&gt;3,ROUND((G20*(1+Expenses!$F$7))/1000,1)*1000,0)</f>
        <v>40700</v>
      </c>
      <c r="J20" s="50"/>
      <c r="K20" s="60">
        <f>IF(Intro!$E$10&gt;4,ROUND((I20*(1+Expenses!$F$7))/1000,1)*1000,0)</f>
        <v>42100</v>
      </c>
      <c r="L20" s="80"/>
      <c r="M20" s="60">
        <f>IF(Intro!$E$10&gt;5,ROUND((K20*(1+Expenses!$F$7))/1000,1)*1000,0)</f>
        <v>43600</v>
      </c>
      <c r="N20" s="50"/>
      <c r="O20" s="60">
        <f>IF(Intro!$E$10&gt;6,ROUND((M20*(1+Expenses!$F$7))/1000,1)*1000,0)</f>
        <v>0</v>
      </c>
      <c r="P20" s="50"/>
      <c r="Q20" s="60">
        <f>IF(Intro!$E$10&gt;7,ROUND((O20*(1+Expenses!$F$7))/1000,1)*1000,0)</f>
        <v>0</v>
      </c>
      <c r="R20" s="50"/>
      <c r="S20" s="60">
        <f>IF(Intro!$E$10&gt;8,ROUND((Q20*(1+Expenses!$F$7))/1000,1)*1000,0)</f>
        <v>0</v>
      </c>
      <c r="T20" s="50"/>
      <c r="U20" s="60">
        <f>IF(Intro!$E$10&gt;9,ROUND((S20*(1+Expenses!$F$7))/1000,1)*1000,0)</f>
        <v>0</v>
      </c>
    </row>
    <row r="21" spans="1:21" ht="12.75">
      <c r="A21" s="47"/>
      <c r="B21" s="48" t="s">
        <v>53</v>
      </c>
      <c r="C21" s="49">
        <f>Expenses!K26</f>
        <v>21700</v>
      </c>
      <c r="D21" s="50"/>
      <c r="E21" s="60">
        <f>IF(Intro!$E$10&gt;1,ROUND((C21*(1+Expenses!$F$7))/1000,1)*1000,0)</f>
        <v>22500</v>
      </c>
      <c r="F21" s="50"/>
      <c r="G21" s="60">
        <f>IF(Intro!$E$10&gt;2,ROUND((E21*(1+Expenses!$F$7))/1000,1)*1000,0)</f>
        <v>23300</v>
      </c>
      <c r="H21" s="50"/>
      <c r="I21" s="60">
        <f>IF(Intro!$E$10&gt;3,ROUND((G21*(1+Expenses!$F$7))/1000,1)*1000,0)</f>
        <v>24100</v>
      </c>
      <c r="J21" s="50"/>
      <c r="K21" s="60">
        <f>IF(Intro!$E$10&gt;4,ROUND((I21*(1+Expenses!$F$7))/1000,1)*1000,0)</f>
        <v>24900</v>
      </c>
      <c r="L21" s="80"/>
      <c r="M21" s="60">
        <f>IF(Intro!$E$10&gt;5,ROUND((K21*(1+Expenses!$F$7))/1000,1)*1000,0)</f>
        <v>25800</v>
      </c>
      <c r="N21" s="50"/>
      <c r="O21" s="60">
        <f>IF(Intro!$E$10&gt;6,ROUND((M21*(1+Expenses!$F$7))/1000,1)*1000,0)</f>
        <v>0</v>
      </c>
      <c r="P21" s="50"/>
      <c r="Q21" s="60">
        <f>IF(Intro!$E$10&gt;7,ROUND((O21*(1+Expenses!$F$7))/1000,1)*1000,0)</f>
        <v>0</v>
      </c>
      <c r="R21" s="50"/>
      <c r="S21" s="60">
        <f>IF(Intro!$E$10&gt;8,ROUND((Q21*(1+Expenses!$F$7))/1000,1)*1000,0)</f>
        <v>0</v>
      </c>
      <c r="T21" s="50"/>
      <c r="U21" s="60">
        <f>IF(Intro!$E$10&gt;9,ROUND((S21*(1+Expenses!$F$7))/1000,1)*1000,0)</f>
        <v>0</v>
      </c>
    </row>
    <row r="22" spans="1:21" ht="12.75">
      <c r="A22" s="47"/>
      <c r="B22" s="48" t="s">
        <v>54</v>
      </c>
      <c r="C22" s="49">
        <f>Expenses!K27</f>
        <v>33100</v>
      </c>
      <c r="D22" s="50"/>
      <c r="E22" s="60">
        <f>IF(Intro!$E$10&gt;1,ROUND((C22*(1+Expenses!$F$7))/1000,1)*1000,0)</f>
        <v>34300</v>
      </c>
      <c r="F22" s="50"/>
      <c r="G22" s="60">
        <f>IF(Intro!$E$10&gt;2,ROUND((E22*(1+Expenses!$F$7))/1000,1)*1000,0)</f>
        <v>35500</v>
      </c>
      <c r="H22" s="50"/>
      <c r="I22" s="60">
        <f>IF(Intro!$E$10&gt;3,ROUND((G22*(1+Expenses!$F$7))/1000,1)*1000,0)</f>
        <v>36700</v>
      </c>
      <c r="J22" s="50"/>
      <c r="K22" s="60">
        <f>IF(Intro!$E$10&gt;4,ROUND((I22*(1+Expenses!$F$7))/1000,1)*1000,0)</f>
        <v>38000</v>
      </c>
      <c r="L22" s="80"/>
      <c r="M22" s="60">
        <f>IF(Intro!$E$10&gt;5,ROUND((K22*(1+Expenses!$F$7))/1000,1)*1000,0)</f>
        <v>39300</v>
      </c>
      <c r="N22" s="50"/>
      <c r="O22" s="60">
        <f>IF(Intro!$E$10&gt;6,ROUND((M22*(1+Expenses!$F$7))/1000,1)*1000,0)</f>
        <v>0</v>
      </c>
      <c r="P22" s="50"/>
      <c r="Q22" s="60">
        <f>IF(Intro!$E$10&gt;7,ROUND((O22*(1+Expenses!$F$7))/1000,1)*1000,0)</f>
        <v>0</v>
      </c>
      <c r="R22" s="50"/>
      <c r="S22" s="60">
        <f>IF(Intro!$E$10&gt;8,ROUND((Q22*(1+Expenses!$F$7))/1000,1)*1000,0)</f>
        <v>0</v>
      </c>
      <c r="T22" s="50"/>
      <c r="U22" s="60">
        <f>IF(Intro!$E$10&gt;9,ROUND((S22*(1+Expenses!$F$7))/1000,1)*1000,0)</f>
        <v>0</v>
      </c>
    </row>
    <row r="23" spans="1:21" ht="12.75">
      <c r="A23" s="47"/>
      <c r="B23" s="48" t="s">
        <v>55</v>
      </c>
      <c r="C23" s="49">
        <f>Expenses!K28</f>
        <v>188300</v>
      </c>
      <c r="D23" s="50"/>
      <c r="E23" s="60">
        <f>IF(Intro!$E$10&gt;1,ROUND((C23*(1+Expenses!$F$7))/1000,1)*1000,0)</f>
        <v>194900</v>
      </c>
      <c r="F23" s="50"/>
      <c r="G23" s="60">
        <f>IF(Intro!$E$10&gt;2,ROUND((E23*(1+Expenses!$F$7))/1000,1)*1000,0)</f>
        <v>201700</v>
      </c>
      <c r="H23" s="50"/>
      <c r="I23" s="60">
        <f>IF(Intro!$E$10&gt;3,ROUND((G23*(1+Expenses!$F$7))/1000,1)*1000,0)</f>
        <v>208800</v>
      </c>
      <c r="J23" s="50"/>
      <c r="K23" s="60">
        <f>IF(Intro!$E$10&gt;4,ROUND((I23*(1+Expenses!$F$7))/1000,1)*1000,0)</f>
        <v>216100</v>
      </c>
      <c r="L23" s="80"/>
      <c r="M23" s="60">
        <f>IF(Intro!$E$10&gt;5,ROUND((K23*(1+Expenses!$F$7))/1000,1)*1000,0)</f>
        <v>223700</v>
      </c>
      <c r="N23" s="50"/>
      <c r="O23" s="60">
        <f>IF(Intro!$E$10&gt;6,ROUND((M23*(1+Expenses!$F$7))/1000,1)*1000,0)</f>
        <v>0</v>
      </c>
      <c r="P23" s="50"/>
      <c r="Q23" s="60">
        <f>IF(Intro!$E$10&gt;7,ROUND((O23*(1+Expenses!$F$7))/1000,1)*1000,0)</f>
        <v>0</v>
      </c>
      <c r="R23" s="50"/>
      <c r="S23" s="60">
        <f>IF(Intro!$E$10&gt;8,ROUND((Q23*(1+Expenses!$F$7))/1000,1)*1000,0)</f>
        <v>0</v>
      </c>
      <c r="T23" s="50"/>
      <c r="U23" s="60">
        <f>IF(Intro!$E$10&gt;9,ROUND((S23*(1+Expenses!$F$7))/1000,1)*1000,0)</f>
        <v>0</v>
      </c>
    </row>
    <row r="24" spans="1:21" ht="12.75">
      <c r="A24" s="47"/>
      <c r="B24" s="48" t="s">
        <v>56</v>
      </c>
      <c r="C24" s="55">
        <f>Expenses!K29</f>
        <v>300000</v>
      </c>
      <c r="D24" s="50"/>
      <c r="E24" s="61">
        <f>IF(Intro!$E$10&gt;1,ROUND((C24*(1+Expenses!G10))/1000,1)*1000,0)</f>
        <v>300000</v>
      </c>
      <c r="F24" s="80"/>
      <c r="G24" s="61">
        <f>IF(Intro!$E$10&gt;2,ROUND((E24*(1+Expenses!H10))/1000,1)*1000,0)</f>
        <v>300000</v>
      </c>
      <c r="H24" s="80"/>
      <c r="I24" s="61">
        <f>IF(Intro!$E$10&gt;3,ROUND((G24*(1+Expenses!I10))/1000,1)*1000,0)</f>
        <v>375000</v>
      </c>
      <c r="J24" s="80"/>
      <c r="K24" s="61">
        <f>IF(Intro!$E$10&gt;4,ROUND((I24*(1+Expenses!J10))/1000,1)*1000,0)</f>
        <v>375000</v>
      </c>
      <c r="L24" s="80"/>
      <c r="M24" s="61">
        <f>IF(Intro!$E$10&gt;5,ROUND((K24*(1+Expenses!K10))/1000,1)*1000,0)</f>
        <v>375000</v>
      </c>
      <c r="N24" s="80"/>
      <c r="O24" s="61">
        <f>IF(Intro!$E$10&gt;6,ROUND((M24*(1+Expenses!L10))/1000,1)*1000,0)</f>
        <v>0</v>
      </c>
      <c r="P24" s="80"/>
      <c r="Q24" s="61">
        <f>IF(Intro!$E$10&gt;7,ROUND((O24*(1+Expenses!M10))/1000,1)*1000,0)</f>
        <v>0</v>
      </c>
      <c r="R24" s="80"/>
      <c r="S24" s="61">
        <f>IF(Intro!$E$10&gt;8,ROUND((Q24*(1+Expenses!N10))/1000,1)*1000,0)</f>
        <v>0</v>
      </c>
      <c r="T24" s="80"/>
      <c r="U24" s="61">
        <f>IF(Intro!$E$10&gt;9,ROUND((S24*(1+Expenses!O10))/1000,1)*1000,0)</f>
        <v>0</v>
      </c>
    </row>
    <row r="25" spans="1:21" ht="12.75">
      <c r="A25" s="47"/>
      <c r="B25" s="39"/>
      <c r="C25" s="49"/>
      <c r="D25" s="50"/>
      <c r="E25" s="60"/>
      <c r="F25" s="80"/>
      <c r="G25" s="60"/>
      <c r="H25" s="80"/>
      <c r="I25" s="60"/>
      <c r="J25" s="80"/>
      <c r="K25" s="60"/>
      <c r="L25" s="80"/>
      <c r="M25" s="60"/>
      <c r="N25" s="80"/>
      <c r="O25" s="60"/>
      <c r="P25" s="80"/>
      <c r="Q25" s="60"/>
      <c r="R25" s="80"/>
      <c r="S25" s="60"/>
      <c r="T25" s="80"/>
      <c r="U25" s="60"/>
    </row>
    <row r="26" spans="1:21" ht="12.75">
      <c r="A26" s="47"/>
      <c r="B26" s="39" t="s">
        <v>78</v>
      </c>
      <c r="C26" s="125">
        <f>SUM(C17:C24)</f>
        <v>1006400</v>
      </c>
      <c r="D26" s="126"/>
      <c r="E26" s="125">
        <f>SUM(E17:E24)</f>
        <v>1037400</v>
      </c>
      <c r="F26" s="126"/>
      <c r="G26" s="125">
        <f>SUM(G17:G24)</f>
        <v>1065000</v>
      </c>
      <c r="H26" s="126"/>
      <c r="I26" s="125">
        <f>SUM(I17:I24)</f>
        <v>1163900</v>
      </c>
      <c r="J26" s="126"/>
      <c r="K26" s="125">
        <f>SUM(K17:K24)</f>
        <v>1191500</v>
      </c>
      <c r="L26" s="126"/>
      <c r="M26" s="125">
        <f>SUM(M17:M24)</f>
        <v>1220100</v>
      </c>
      <c r="N26" s="126"/>
      <c r="O26" s="125">
        <f>SUM(O17:O24)</f>
        <v>0</v>
      </c>
      <c r="P26" s="126"/>
      <c r="Q26" s="125">
        <f>SUM(Q17:Q24)</f>
        <v>0</v>
      </c>
      <c r="R26" s="126"/>
      <c r="S26" s="125">
        <f>SUM(S17:S24)</f>
        <v>0</v>
      </c>
      <c r="T26" s="126"/>
      <c r="U26" s="125">
        <f>SUM(U17:U24)</f>
        <v>0</v>
      </c>
    </row>
    <row r="27" spans="1:21" ht="12.75">
      <c r="A27" s="47"/>
      <c r="B27" s="34" t="s">
        <v>79</v>
      </c>
      <c r="C27" s="112">
        <f>C14-C26</f>
        <v>1265700</v>
      </c>
      <c r="D27" s="112"/>
      <c r="E27" s="112">
        <f>E14-E26</f>
        <v>1438700</v>
      </c>
      <c r="F27" s="112"/>
      <c r="G27" s="112">
        <f>G14-G26</f>
        <v>1534800</v>
      </c>
      <c r="H27" s="112"/>
      <c r="I27" s="112">
        <f>I14-I26</f>
        <v>1470900</v>
      </c>
      <c r="J27" s="112"/>
      <c r="K27" s="112">
        <f>K14-K26</f>
        <v>1535500</v>
      </c>
      <c r="L27" s="112"/>
      <c r="M27" s="112">
        <f>M14-M26</f>
        <v>1602300</v>
      </c>
      <c r="N27" s="112"/>
      <c r="O27" s="112">
        <f>O14-O26</f>
        <v>0</v>
      </c>
      <c r="P27" s="112"/>
      <c r="Q27" s="112">
        <f>Q14-Q26</f>
        <v>0</v>
      </c>
      <c r="R27" s="112"/>
      <c r="S27" s="112">
        <f>S14-S26</f>
        <v>0</v>
      </c>
      <c r="T27" s="112"/>
      <c r="U27" s="112">
        <f>U14-U26</f>
        <v>0</v>
      </c>
    </row>
    <row r="28" spans="1:21" ht="12.75">
      <c r="A28" s="47"/>
      <c r="B28" s="39" t="s">
        <v>101</v>
      </c>
      <c r="C28" s="127">
        <f>ROUND(Mortgage!D22/1000,1)*1000</f>
        <v>803000</v>
      </c>
      <c r="D28" s="128"/>
      <c r="E28" s="127">
        <f>ROUND(Mortgage!E22/1000,1)*1000</f>
        <v>803000</v>
      </c>
      <c r="F28" s="128"/>
      <c r="G28" s="127">
        <f>ROUND(Mortgage!F22/1000,1)*1000</f>
        <v>803000</v>
      </c>
      <c r="H28" s="128"/>
      <c r="I28" s="127">
        <f>ROUND(Mortgage!G22/1000,1)*1000</f>
        <v>803000</v>
      </c>
      <c r="J28" s="128"/>
      <c r="K28" s="127">
        <f>ROUND(Mortgage!H22/1000,1)*1000</f>
        <v>803000</v>
      </c>
      <c r="L28" s="128"/>
      <c r="M28" s="127">
        <f>ROUND(Mortgage!I22/1000,1)*1000</f>
        <v>803000</v>
      </c>
      <c r="N28" s="128"/>
      <c r="O28" s="127">
        <f>ROUND(Mortgage!J22/1000,1)*1000</f>
        <v>0</v>
      </c>
      <c r="P28" s="128"/>
      <c r="Q28" s="127">
        <f>ROUND(Mortgage!K22/1000,1)*1000</f>
        <v>0</v>
      </c>
      <c r="R28" s="128"/>
      <c r="S28" s="127">
        <f>ROUND(Mortgage!L22/1000,1)*1000</f>
        <v>0</v>
      </c>
      <c r="T28" s="128"/>
      <c r="U28" s="127">
        <f>ROUND(Mortgage!M22/1000,1)*1000</f>
        <v>0</v>
      </c>
    </row>
    <row r="29" spans="2:21" ht="12.75">
      <c r="B29" s="108"/>
      <c r="C29" s="80"/>
      <c r="D29" s="50"/>
      <c r="E29" s="80"/>
      <c r="F29" s="50"/>
      <c r="G29" s="80"/>
      <c r="H29" s="50"/>
      <c r="I29" s="80"/>
      <c r="J29" s="50"/>
      <c r="K29" s="80"/>
      <c r="L29" s="80"/>
      <c r="M29" s="80"/>
      <c r="N29" s="56"/>
      <c r="O29" s="56"/>
      <c r="P29" s="56"/>
      <c r="Q29" s="56"/>
      <c r="R29" s="56"/>
      <c r="S29" s="56"/>
      <c r="T29" s="56"/>
      <c r="U29" s="56"/>
    </row>
    <row r="30" spans="1:21" ht="13.5" thickBot="1">
      <c r="A30" s="39"/>
      <c r="B30" s="111" t="s">
        <v>102</v>
      </c>
      <c r="C30" s="81">
        <f>C27-C28</f>
        <v>462700</v>
      </c>
      <c r="D30" s="82"/>
      <c r="E30" s="81">
        <f>E27-E28</f>
        <v>635700</v>
      </c>
      <c r="F30" s="82"/>
      <c r="G30" s="81">
        <f>G27-G28</f>
        <v>731800</v>
      </c>
      <c r="H30" s="82"/>
      <c r="I30" s="81">
        <f>I27-I28</f>
        <v>667900</v>
      </c>
      <c r="J30" s="82"/>
      <c r="K30" s="81">
        <f>K27-K28</f>
        <v>732500</v>
      </c>
      <c r="L30" s="82"/>
      <c r="M30" s="81">
        <f>M27-M28</f>
        <v>799300</v>
      </c>
      <c r="N30" s="82"/>
      <c r="O30" s="81">
        <f>O27-O28</f>
        <v>0</v>
      </c>
      <c r="P30" s="82"/>
      <c r="Q30" s="81">
        <f>Q27-Q28</f>
        <v>0</v>
      </c>
      <c r="R30" s="82"/>
      <c r="S30" s="81">
        <f>S27-S28</f>
        <v>0</v>
      </c>
      <c r="T30" s="82"/>
      <c r="U30" s="81">
        <f>U27-U28</f>
        <v>0</v>
      </c>
    </row>
    <row r="31" spans="1:21" ht="13.5" thickTop="1">
      <c r="A31" s="39"/>
      <c r="B31" s="56"/>
      <c r="C31" s="83"/>
      <c r="D31" s="50"/>
      <c r="E31" s="83"/>
      <c r="F31" s="50"/>
      <c r="G31" s="83"/>
      <c r="H31" s="50"/>
      <c r="I31" s="83"/>
      <c r="J31" s="50"/>
      <c r="K31" s="83"/>
      <c r="L31" s="80"/>
      <c r="M31" s="83"/>
      <c r="N31" s="56"/>
      <c r="O31" s="83"/>
      <c r="P31" s="56"/>
      <c r="Q31" s="83"/>
      <c r="R31" s="56"/>
      <c r="S31" s="83"/>
      <c r="T31" s="56"/>
      <c r="U31" s="83"/>
    </row>
    <row r="32" spans="1:2" ht="12.75">
      <c r="A32" s="39"/>
      <c r="B32" s="56"/>
    </row>
    <row r="33" spans="1:21" ht="12.75">
      <c r="A33" s="39"/>
      <c r="B33" s="84"/>
      <c r="D33" s="50"/>
      <c r="E33" s="80"/>
      <c r="F33" s="50"/>
      <c r="G33" s="80"/>
      <c r="H33" s="50"/>
      <c r="I33" s="80"/>
      <c r="J33" s="50"/>
      <c r="K33" s="80"/>
      <c r="L33" s="80"/>
      <c r="M33" s="80"/>
      <c r="N33" s="39"/>
      <c r="O33" s="39"/>
      <c r="P33" s="39"/>
      <c r="Q33" s="39"/>
      <c r="R33" s="39"/>
      <c r="S33" s="39"/>
      <c r="T33" s="39"/>
      <c r="U33" s="39"/>
    </row>
    <row r="34" spans="1:21" ht="12.75">
      <c r="A34" s="39"/>
      <c r="B34" s="3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39"/>
      <c r="O34" s="39"/>
      <c r="P34" s="39"/>
      <c r="Q34" s="39"/>
      <c r="R34" s="39"/>
      <c r="S34" s="39"/>
      <c r="T34" s="39"/>
      <c r="U34" s="39"/>
    </row>
    <row r="35" spans="1:21" ht="12.75">
      <c r="A35" s="39"/>
      <c r="B35" s="3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39"/>
      <c r="O35" s="39"/>
      <c r="P35" s="39"/>
      <c r="Q35" s="39"/>
      <c r="R35" s="39"/>
      <c r="S35" s="39"/>
      <c r="T35" s="39"/>
      <c r="U35" s="39"/>
    </row>
    <row r="36" spans="1:21" ht="12.75">
      <c r="A36" s="39"/>
      <c r="B36" s="3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39"/>
      <c r="O36" s="39"/>
      <c r="P36" s="39"/>
      <c r="Q36" s="39"/>
      <c r="R36" s="39"/>
      <c r="S36" s="39"/>
      <c r="T36" s="39"/>
      <c r="U36" s="39"/>
    </row>
    <row r="37" spans="1:21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</cols>
  <sheetData>
    <row r="2" spans="2:7" ht="18">
      <c r="B2" s="20" t="s">
        <v>186</v>
      </c>
      <c r="C2" s="20"/>
      <c r="D2" s="20"/>
      <c r="F2" s="44"/>
      <c r="G2" s="208" t="s">
        <v>178</v>
      </c>
    </row>
    <row r="3" spans="2:6" ht="9" customHeight="1">
      <c r="B3" s="67"/>
      <c r="C3" s="67"/>
      <c r="D3" s="67"/>
      <c r="F3" s="44"/>
    </row>
    <row r="4" spans="2:6" ht="12.75" customHeight="1">
      <c r="B4" s="67" t="s">
        <v>113</v>
      </c>
      <c r="C4" s="67"/>
      <c r="D4" s="67"/>
      <c r="F4" s="44"/>
    </row>
    <row r="5" spans="2:15" ht="12.75" customHeight="1">
      <c r="B5" s="67" t="s">
        <v>268</v>
      </c>
      <c r="C5" s="67"/>
      <c r="D5" s="67"/>
      <c r="F5" s="44"/>
      <c r="O5" s="1" t="s">
        <v>272</v>
      </c>
    </row>
    <row r="6" spans="2:6" ht="12.75" customHeight="1">
      <c r="B6" s="67"/>
      <c r="C6" s="67"/>
      <c r="D6" s="67"/>
      <c r="F6" s="44"/>
    </row>
    <row r="7" spans="2:19" ht="12.75" customHeight="1">
      <c r="B7" s="116" t="s">
        <v>15</v>
      </c>
      <c r="C7" s="336">
        <v>0.4</v>
      </c>
      <c r="D7" s="67"/>
      <c r="F7" s="44"/>
      <c r="G7" s="24" t="s">
        <v>92</v>
      </c>
      <c r="K7" s="24" t="s">
        <v>110</v>
      </c>
      <c r="O7" s="24" t="s">
        <v>111</v>
      </c>
      <c r="S7" s="24" t="s">
        <v>126</v>
      </c>
    </row>
    <row r="8" spans="2:19" ht="12.75" customHeight="1">
      <c r="B8" s="67"/>
      <c r="C8" s="67"/>
      <c r="D8" s="67"/>
      <c r="F8" s="44"/>
      <c r="G8" s="24" t="s">
        <v>108</v>
      </c>
      <c r="K8" s="24" t="s">
        <v>109</v>
      </c>
      <c r="O8" s="24" t="s">
        <v>127</v>
      </c>
      <c r="S8" s="24" t="s">
        <v>125</v>
      </c>
    </row>
    <row r="9" spans="2:19" ht="12.75" customHeight="1">
      <c r="B9" s="67"/>
      <c r="C9" s="115" t="s">
        <v>115</v>
      </c>
      <c r="D9" s="67"/>
      <c r="F9" s="367">
        <v>9300000</v>
      </c>
      <c r="G9" s="368"/>
      <c r="H9" s="39"/>
      <c r="I9" s="102" t="s">
        <v>94</v>
      </c>
      <c r="J9" s="369">
        <v>27.5</v>
      </c>
      <c r="K9" s="370"/>
      <c r="M9" s="113" t="s">
        <v>91</v>
      </c>
      <c r="N9" s="339">
        <f>ROUND((F9/J9)/1000,1)*1000</f>
        <v>338200</v>
      </c>
      <c r="O9" s="338"/>
      <c r="P9" s="39"/>
      <c r="Q9" s="39"/>
      <c r="R9" s="339">
        <f>ROUND((N9*11.5/12)/1000,1)*1000</f>
        <v>324100</v>
      </c>
      <c r="S9" s="338"/>
    </row>
    <row r="10" spans="2:18" ht="12.75" customHeight="1">
      <c r="B10" s="67"/>
      <c r="C10" s="67"/>
      <c r="D10" s="67"/>
      <c r="F10" s="44"/>
      <c r="R10" s="114" t="s">
        <v>112</v>
      </c>
    </row>
    <row r="11" spans="3:18" ht="9" customHeight="1">
      <c r="C11" s="67"/>
      <c r="D11" s="67"/>
      <c r="F11" s="44"/>
      <c r="R11" s="114"/>
    </row>
    <row r="12" spans="2:21" ht="12.75" customHeight="1">
      <c r="B12" s="1" t="s">
        <v>114</v>
      </c>
      <c r="C12" s="45">
        <v>1</v>
      </c>
      <c r="D12" s="46"/>
      <c r="E12" s="45">
        <v>2</v>
      </c>
      <c r="F12" s="46"/>
      <c r="G12" s="45">
        <v>3</v>
      </c>
      <c r="H12" s="46"/>
      <c r="I12" s="45">
        <v>4</v>
      </c>
      <c r="J12" s="46"/>
      <c r="K12" s="45">
        <v>5</v>
      </c>
      <c r="L12" s="46"/>
      <c r="M12" s="45">
        <v>6</v>
      </c>
      <c r="N12" s="46"/>
      <c r="O12" s="45">
        <v>7</v>
      </c>
      <c r="P12" s="46"/>
      <c r="Q12" s="45">
        <v>8</v>
      </c>
      <c r="R12" s="46"/>
      <c r="S12" s="45">
        <v>9</v>
      </c>
      <c r="T12" s="46"/>
      <c r="U12" s="45">
        <v>10</v>
      </c>
    </row>
    <row r="13" spans="2:21" ht="12.75" customHeight="1">
      <c r="B13" s="34" t="s">
        <v>79</v>
      </c>
      <c r="C13" s="118">
        <f>C39</f>
        <v>1265700</v>
      </c>
      <c r="D13" s="34"/>
      <c r="E13" s="118">
        <f>E39</f>
        <v>1438700</v>
      </c>
      <c r="F13" s="119"/>
      <c r="G13" s="118">
        <f>G39</f>
        <v>1534800</v>
      </c>
      <c r="H13" s="34"/>
      <c r="I13" s="118">
        <f>I39</f>
        <v>1470900</v>
      </c>
      <c r="J13" s="34"/>
      <c r="K13" s="118">
        <f>K39</f>
        <v>1535500</v>
      </c>
      <c r="L13" s="34"/>
      <c r="M13" s="118">
        <f>M39</f>
        <v>1602300</v>
      </c>
      <c r="N13" s="34"/>
      <c r="O13" s="118">
        <f>O39</f>
        <v>0</v>
      </c>
      <c r="P13" s="34"/>
      <c r="Q13" s="118">
        <f>Q39</f>
        <v>0</v>
      </c>
      <c r="R13" s="120"/>
      <c r="S13" s="118">
        <f>S39</f>
        <v>0</v>
      </c>
      <c r="T13" s="34"/>
      <c r="U13" s="118">
        <f>U39</f>
        <v>0</v>
      </c>
    </row>
    <row r="14" spans="2:21" ht="12.75" customHeight="1">
      <c r="B14" s="124" t="s">
        <v>117</v>
      </c>
      <c r="C14" s="133">
        <f>ROUND(Mortgage!D20/1000,1)*1000</f>
        <v>633900</v>
      </c>
      <c r="D14" s="134"/>
      <c r="E14" s="133">
        <f>ROUND(Mortgage!E20/1000,1)*1000</f>
        <v>619900</v>
      </c>
      <c r="F14" s="134"/>
      <c r="G14" s="133">
        <f>ROUND(Mortgage!F20/1000,1)*1000</f>
        <v>604700</v>
      </c>
      <c r="H14" s="134"/>
      <c r="I14" s="133">
        <f>ROUND(Mortgage!G20/1000,1)*1000</f>
        <v>588200</v>
      </c>
      <c r="J14" s="134"/>
      <c r="K14" s="133">
        <f>ROUND(Mortgage!H20/1000,1)*1000</f>
        <v>570400</v>
      </c>
      <c r="L14" s="134"/>
      <c r="M14" s="133">
        <f>ROUND(Mortgage!I20/1000,1)*1000</f>
        <v>551100</v>
      </c>
      <c r="N14" s="34"/>
      <c r="O14" s="112">
        <f>ROUND(Mortgage!J20/1000,1)*1000</f>
        <v>0</v>
      </c>
      <c r="P14" s="34"/>
      <c r="Q14" s="112">
        <f>ROUND(Mortgage!K20/1000,1)*1000</f>
        <v>0</v>
      </c>
      <c r="R14" s="120"/>
      <c r="S14" s="112">
        <f>ROUND(Mortgage!L20/1000,1)*1000</f>
        <v>0</v>
      </c>
      <c r="T14" s="34"/>
      <c r="U14" s="112">
        <f>ROUND(Mortgage!M20/1000,1)*1000</f>
        <v>0</v>
      </c>
    </row>
    <row r="15" spans="2:21" ht="12.75" customHeight="1">
      <c r="B15" s="124" t="s">
        <v>118</v>
      </c>
      <c r="C15" s="135">
        <f>R9</f>
        <v>324100</v>
      </c>
      <c r="D15" s="133"/>
      <c r="E15" s="135">
        <f>IF(Intro!$E$10&gt;E21,$N$9,IF(Intro!$E$10=E21,$R$9,0))</f>
        <v>338200</v>
      </c>
      <c r="F15" s="133"/>
      <c r="G15" s="133">
        <f>IF(Intro!$E$10&gt;G21,$N$9,IF(Intro!$E$10=G21,$R$9,0))</f>
        <v>338200</v>
      </c>
      <c r="H15" s="133"/>
      <c r="I15" s="133">
        <f>IF(Intro!$E$10&gt;I21,$N$9,IF(Intro!$E$10=I21,$R$9,0))</f>
        <v>338200</v>
      </c>
      <c r="J15" s="133"/>
      <c r="K15" s="133">
        <f>IF(Intro!$E$10&gt;K21,$N$9,IF(Intro!$E$10=K21,$R$9,0))</f>
        <v>338200</v>
      </c>
      <c r="L15" s="133"/>
      <c r="M15" s="133">
        <f>IF(Intro!$E$10&gt;M21,$N$9,IF(Intro!$E$10=M21,$R$9,0))</f>
        <v>324100</v>
      </c>
      <c r="N15" s="50"/>
      <c r="O15" s="50">
        <f>IF(Intro!$E$10&gt;O21,$N$9,IF(Intro!$E$10=O21,$R$9,0))</f>
        <v>0</v>
      </c>
      <c r="P15" s="50"/>
      <c r="Q15" s="50">
        <f>IF(Intro!$E$10&gt;Q21,$N$9,IF(Intro!$E$10=Q21,$R$9,0))</f>
        <v>0</v>
      </c>
      <c r="R15" s="50"/>
      <c r="S15" s="50">
        <f>IF(Intro!$E$10&gt;S21,$N$9,IF(Intro!$E$10=S21,$R$9,0))</f>
        <v>0</v>
      </c>
      <c r="T15" s="50"/>
      <c r="U15" s="50">
        <f>IF(Intro!$E$10&gt;U21,$N$9,IF(Intro!$E$10=U21,$R$9,0))</f>
        <v>0</v>
      </c>
    </row>
    <row r="16" spans="2:21" ht="12.75" customHeight="1">
      <c r="B16" s="34" t="s">
        <v>116</v>
      </c>
      <c r="C16" s="118">
        <f>C13-C14-C15</f>
        <v>307700</v>
      </c>
      <c r="D16" s="34"/>
      <c r="E16" s="118">
        <f>E13-E14-E15</f>
        <v>480600</v>
      </c>
      <c r="F16" s="119"/>
      <c r="G16" s="121">
        <f>G13-G14-G15</f>
        <v>591900</v>
      </c>
      <c r="H16" s="34"/>
      <c r="I16" s="121">
        <f>I13-I14-I15</f>
        <v>544500</v>
      </c>
      <c r="J16" s="34"/>
      <c r="K16" s="121">
        <f>K13-K14-K15</f>
        <v>626900</v>
      </c>
      <c r="L16" s="34"/>
      <c r="M16" s="121">
        <f>M13-M14-M15</f>
        <v>727100</v>
      </c>
      <c r="N16" s="34"/>
      <c r="O16" s="121">
        <f>O13-O14-O15</f>
        <v>0</v>
      </c>
      <c r="P16" s="34"/>
      <c r="Q16" s="121">
        <f>Q13-Q14-Q15</f>
        <v>0</v>
      </c>
      <c r="R16" s="120"/>
      <c r="S16" s="121">
        <f>S13-S14-S15</f>
        <v>0</v>
      </c>
      <c r="T16" s="34"/>
      <c r="U16" s="121">
        <f>U13-U14-U15</f>
        <v>0</v>
      </c>
    </row>
    <row r="17" spans="2:21" ht="12.75" customHeight="1">
      <c r="B17" s="124" t="s">
        <v>119</v>
      </c>
      <c r="C17" s="129">
        <f>$C$7</f>
        <v>0.4</v>
      </c>
      <c r="D17" s="34"/>
      <c r="E17" s="129">
        <f>$C$7</f>
        <v>0.4</v>
      </c>
      <c r="F17" s="119"/>
      <c r="G17" s="129">
        <f>$C$7</f>
        <v>0.4</v>
      </c>
      <c r="H17" s="34"/>
      <c r="I17" s="129">
        <f>$C$7</f>
        <v>0.4</v>
      </c>
      <c r="J17" s="122"/>
      <c r="K17" s="129">
        <f>$C$7</f>
        <v>0.4</v>
      </c>
      <c r="L17" s="122"/>
      <c r="M17" s="129">
        <f>$C$7</f>
        <v>0.4</v>
      </c>
      <c r="N17" s="122"/>
      <c r="O17" s="129">
        <f>$C$7</f>
        <v>0.4</v>
      </c>
      <c r="P17" s="122"/>
      <c r="Q17" s="129">
        <f>$C$7</f>
        <v>0.4</v>
      </c>
      <c r="R17" s="123"/>
      <c r="S17" s="129">
        <f>$C$7</f>
        <v>0.4</v>
      </c>
      <c r="T17" s="122"/>
      <c r="U17" s="129">
        <f>$C$7</f>
        <v>0.4</v>
      </c>
    </row>
    <row r="18" spans="2:21" ht="12.75" customHeight="1">
      <c r="B18" s="34" t="s">
        <v>120</v>
      </c>
      <c r="C18" s="118">
        <f>ROUND(C16*C17/1000,1)*1000</f>
        <v>123100</v>
      </c>
      <c r="D18" s="34"/>
      <c r="E18" s="118">
        <f>ROUND(E16*E17/1000,1)*1000</f>
        <v>192200</v>
      </c>
      <c r="F18" s="119"/>
      <c r="G18" s="118">
        <f>ROUND(G16*G17/1000,1)*1000</f>
        <v>236800</v>
      </c>
      <c r="H18" s="34"/>
      <c r="I18" s="118">
        <f>ROUND(I16*I17/1000,1)*1000</f>
        <v>217800</v>
      </c>
      <c r="J18" s="122"/>
      <c r="K18" s="118">
        <f>ROUND(K16*K17/1000,1)*1000</f>
        <v>250800</v>
      </c>
      <c r="L18" s="122"/>
      <c r="M18" s="118">
        <f>ROUND(M16*M17/1000,1)*1000</f>
        <v>290800</v>
      </c>
      <c r="N18" s="122"/>
      <c r="O18" s="118">
        <f>ROUND(O16*O17/1000,1)*1000</f>
        <v>0</v>
      </c>
      <c r="P18" s="122"/>
      <c r="Q18" s="118">
        <f>ROUND(Q16*Q17/1000,1)*1000</f>
        <v>0</v>
      </c>
      <c r="R18" s="123"/>
      <c r="S18" s="118">
        <f>ROUND(S16*S17/1000,1)*1000</f>
        <v>0</v>
      </c>
      <c r="T18" s="122"/>
      <c r="U18" s="118">
        <f>ROUND(U16*U17/1000,1)*1000</f>
        <v>0</v>
      </c>
    </row>
    <row r="19" spans="2:21" ht="12.75" customHeight="1">
      <c r="B19" s="34"/>
      <c r="C19" s="34"/>
      <c r="D19" s="34"/>
      <c r="E19" s="34"/>
      <c r="F19" s="119"/>
      <c r="G19" s="34"/>
      <c r="H19" s="34"/>
      <c r="I19" s="122"/>
      <c r="J19" s="122"/>
      <c r="K19" s="122"/>
      <c r="L19" s="122"/>
      <c r="M19" s="122"/>
      <c r="N19" s="122"/>
      <c r="O19" s="122"/>
      <c r="P19" s="122"/>
      <c r="Q19" s="122"/>
      <c r="R19" s="123"/>
      <c r="S19" s="122"/>
      <c r="T19" s="122"/>
      <c r="U19" s="122"/>
    </row>
    <row r="20" spans="2:22" ht="12.75">
      <c r="B20" s="84" t="s">
        <v>107</v>
      </c>
      <c r="C20" s="84"/>
      <c r="D20" s="84"/>
      <c r="I20" s="35" t="s">
        <v>162</v>
      </c>
      <c r="P20" s="29"/>
      <c r="R20" s="29"/>
      <c r="T20" s="29"/>
      <c r="V20" s="29"/>
    </row>
    <row r="21" spans="1:21" ht="12.75">
      <c r="A21" s="39"/>
      <c r="B21" s="39"/>
      <c r="C21" s="45">
        <v>1</v>
      </c>
      <c r="D21" s="46"/>
      <c r="E21" s="45">
        <v>2</v>
      </c>
      <c r="F21" s="46"/>
      <c r="G21" s="45">
        <v>3</v>
      </c>
      <c r="H21" s="46"/>
      <c r="I21" s="45">
        <v>4</v>
      </c>
      <c r="J21" s="46"/>
      <c r="K21" s="45">
        <v>5</v>
      </c>
      <c r="L21" s="46"/>
      <c r="M21" s="45">
        <v>6</v>
      </c>
      <c r="N21" s="46"/>
      <c r="O21" s="45">
        <v>7</v>
      </c>
      <c r="P21" s="46"/>
      <c r="Q21" s="45">
        <v>8</v>
      </c>
      <c r="R21" s="46"/>
      <c r="S21" s="45">
        <v>9</v>
      </c>
      <c r="T21" s="46"/>
      <c r="U21" s="45">
        <v>10</v>
      </c>
    </row>
    <row r="22" spans="1:21" ht="12.75">
      <c r="A22" s="47"/>
      <c r="B22" s="117" t="s">
        <v>23</v>
      </c>
      <c r="C22" s="49">
        <f>Intro!O30</f>
        <v>2346100</v>
      </c>
      <c r="D22" s="50"/>
      <c r="E22" s="51">
        <f>IF(Intro!$E$10&gt;1,ROUND((C22*(1+Intro!G21))/1000,1)*1000,0)</f>
        <v>2463400</v>
      </c>
      <c r="F22" s="52"/>
      <c r="G22" s="51">
        <f>IF(Intro!$E$10&gt;2,ROUND((E22*(1+Intro!H21))/1000,1)*1000,0)</f>
        <v>2586600</v>
      </c>
      <c r="H22" s="52"/>
      <c r="I22" s="51">
        <f>IF(Intro!$E$10&gt;3,ROUND((G22*(1+Intro!I21))/1000,1)*1000,0)</f>
        <v>2677100</v>
      </c>
      <c r="J22" s="52"/>
      <c r="K22" s="51">
        <f>IF(Intro!$E$10&gt;4,ROUND((I22*(1+Intro!J21))/1000,1)*1000,0)</f>
        <v>2770800</v>
      </c>
      <c r="L22" s="52"/>
      <c r="M22" s="51">
        <f>IF(Intro!$E$10&gt;5,ROUND((K22*(1+Intro!K21))/1000,1)*1000,0)</f>
        <v>2867800</v>
      </c>
      <c r="N22" s="52"/>
      <c r="O22" s="51">
        <f>IF(Intro!$E$10&gt;6,ROUND((M22*(1+Intro!L21))/1000,1)*1000,0)</f>
        <v>0</v>
      </c>
      <c r="P22" s="52"/>
      <c r="Q22" s="51">
        <f>IF(Intro!$E$10&gt;7,ROUND((O22*(1+Intro!M21))/1000,1)*1000,0)</f>
        <v>0</v>
      </c>
      <c r="R22" s="52"/>
      <c r="S22" s="51">
        <f>IF(Intro!$E$10&gt;8,ROUND((Q22*(1+Intro!N21))/1000,1)*1000,0)</f>
        <v>0</v>
      </c>
      <c r="T22" s="52"/>
      <c r="U22" s="51">
        <f>IF(Intro!$E$10&gt;9,ROUND((S22*(1+Intro!O21))/1000,1)*1000,0)</f>
        <v>0</v>
      </c>
    </row>
    <row r="23" spans="1:21" ht="12.75">
      <c r="A23" s="47"/>
      <c r="B23" s="48" t="s">
        <v>47</v>
      </c>
      <c r="C23" s="53">
        <f>ROUND((Intro!G25*C22)/1000,1)*1000</f>
        <v>176000</v>
      </c>
      <c r="D23" s="54"/>
      <c r="E23" s="53">
        <f>ROUND((Intro!H25*E22)/1000,1)*1000</f>
        <v>98500</v>
      </c>
      <c r="F23" s="54"/>
      <c r="G23" s="53">
        <f>ROUND((Intro!I25*G22)/1000,1)*1000</f>
        <v>103500</v>
      </c>
      <c r="H23" s="54"/>
      <c r="I23" s="53">
        <f>ROUND((Intro!J25*I22)/1000,1)*1000</f>
        <v>160600</v>
      </c>
      <c r="J23" s="54"/>
      <c r="K23" s="53">
        <f>ROUND((Intro!K25*K22)/1000,1)*1000</f>
        <v>166200</v>
      </c>
      <c r="L23" s="54"/>
      <c r="M23" s="53">
        <f>ROUND((Intro!L25*M22)/1000,1)*1000</f>
        <v>172100</v>
      </c>
      <c r="N23" s="54"/>
      <c r="O23" s="53">
        <f>ROUND((Intro!M25*O22)/1000,1)*1000</f>
        <v>0</v>
      </c>
      <c r="P23" s="54"/>
      <c r="Q23" s="53">
        <f>ROUND((Intro!N25*Q22)/1000,1)*1000</f>
        <v>0</v>
      </c>
      <c r="R23" s="54"/>
      <c r="S23" s="53">
        <f>ROUND((Intro!O25*S22)/1000,1)*1000</f>
        <v>0</v>
      </c>
      <c r="T23" s="54"/>
      <c r="U23" s="53">
        <f>ROUND((Intro!P25*U22)/1000,1)*1000</f>
        <v>0</v>
      </c>
    </row>
    <row r="24" spans="1:21" ht="12.75">
      <c r="A24" s="47"/>
      <c r="B24" s="39"/>
      <c r="C24" s="52">
        <f>C22-C23</f>
        <v>2170100</v>
      </c>
      <c r="D24" s="52"/>
      <c r="E24" s="52">
        <f>E22-E23</f>
        <v>2364900</v>
      </c>
      <c r="F24" s="52"/>
      <c r="G24" s="52">
        <f>G22-G23</f>
        <v>2483100</v>
      </c>
      <c r="H24" s="52"/>
      <c r="I24" s="52">
        <f>I22-I23</f>
        <v>2516500</v>
      </c>
      <c r="J24" s="52"/>
      <c r="K24" s="52">
        <f>K22-K23</f>
        <v>2604600</v>
      </c>
      <c r="L24" s="52"/>
      <c r="M24" s="52">
        <f>M22-M23</f>
        <v>2695700</v>
      </c>
      <c r="N24" s="52"/>
      <c r="O24" s="52">
        <f>O22-O23</f>
        <v>0</v>
      </c>
      <c r="P24" s="52"/>
      <c r="Q24" s="52">
        <f>Q22-Q23</f>
        <v>0</v>
      </c>
      <c r="R24" s="52"/>
      <c r="S24" s="52">
        <f>S22-S23</f>
        <v>0</v>
      </c>
      <c r="T24" s="52"/>
      <c r="U24" s="52">
        <f>U22-U23</f>
        <v>0</v>
      </c>
    </row>
    <row r="25" spans="1:21" ht="12.75">
      <c r="A25" s="47"/>
      <c r="B25" s="48" t="s">
        <v>48</v>
      </c>
      <c r="C25" s="55">
        <f>ROUND((C24*Intro!$F$28)/1000,1)*1000</f>
        <v>102000</v>
      </c>
      <c r="D25" s="50"/>
      <c r="E25" s="55">
        <f>ROUND((E24*Intro!$F$28)/1000,1)*1000</f>
        <v>111200</v>
      </c>
      <c r="F25" s="50"/>
      <c r="G25" s="55">
        <f>ROUND((G24*Intro!$F$28)/1000,1)*1000</f>
        <v>116700</v>
      </c>
      <c r="H25" s="50"/>
      <c r="I25" s="55">
        <f>ROUND((I24*Intro!$F$28)/1000,1)*1000</f>
        <v>118300</v>
      </c>
      <c r="J25" s="50"/>
      <c r="K25" s="55">
        <f>ROUND((K24*Intro!$F$28)/1000,1)*1000</f>
        <v>122400</v>
      </c>
      <c r="L25" s="50"/>
      <c r="M25" s="55">
        <f>ROUND((M24*Intro!$F$28)/1000,1)*1000</f>
        <v>126700</v>
      </c>
      <c r="N25" s="50"/>
      <c r="O25" s="55">
        <f>ROUND((O24*Intro!$F$28)/1000,1)*1000</f>
        <v>0</v>
      </c>
      <c r="P25" s="50"/>
      <c r="Q25" s="55">
        <f>ROUND((Q24*Intro!$F$28)/1000,1)*1000</f>
        <v>0</v>
      </c>
      <c r="R25" s="50"/>
      <c r="S25" s="55">
        <f>ROUND((S24*Intro!$F$28)/1000,1)*1000</f>
        <v>0</v>
      </c>
      <c r="T25" s="50"/>
      <c r="U25" s="55">
        <f>ROUND((U24*Intro!$F$28)/1000,1)*1000</f>
        <v>0</v>
      </c>
    </row>
    <row r="26" spans="1:21" ht="12.75">
      <c r="A26" s="47"/>
      <c r="B26" s="117" t="s">
        <v>46</v>
      </c>
      <c r="C26" s="57">
        <f>C24+C25</f>
        <v>2272100</v>
      </c>
      <c r="D26" s="57"/>
      <c r="E26" s="57">
        <f>E24+E25</f>
        <v>2476100</v>
      </c>
      <c r="F26" s="57"/>
      <c r="G26" s="57">
        <f>G24+G25</f>
        <v>2599800</v>
      </c>
      <c r="H26" s="57"/>
      <c r="I26" s="57">
        <f>I24+I25</f>
        <v>2634800</v>
      </c>
      <c r="J26" s="57"/>
      <c r="K26" s="57">
        <f>K24+K25</f>
        <v>2727000</v>
      </c>
      <c r="L26" s="57"/>
      <c r="M26" s="57">
        <f>M24+M25</f>
        <v>2822400</v>
      </c>
      <c r="N26" s="57"/>
      <c r="O26" s="57">
        <f>O24+O25</f>
        <v>0</v>
      </c>
      <c r="P26" s="57"/>
      <c r="Q26" s="57">
        <f>Q24+Q25</f>
        <v>0</v>
      </c>
      <c r="R26" s="57"/>
      <c r="S26" s="57">
        <f>S24+S25</f>
        <v>0</v>
      </c>
      <c r="T26" s="57"/>
      <c r="U26" s="57">
        <f>U24+U25</f>
        <v>0</v>
      </c>
    </row>
    <row r="27" spans="1:21" ht="12.75" hidden="1">
      <c r="A27" s="47"/>
      <c r="B27" s="4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2.75" hidden="1">
      <c r="A28" s="47"/>
      <c r="B28" s="58" t="s">
        <v>45</v>
      </c>
      <c r="C28" s="39"/>
      <c r="D28" s="56"/>
      <c r="E28" s="39"/>
      <c r="F28" s="56"/>
      <c r="G28" s="39"/>
      <c r="H28" s="56"/>
      <c r="I28" s="39"/>
      <c r="J28" s="56"/>
      <c r="K28" s="39"/>
      <c r="L28" s="56"/>
      <c r="M28" s="39"/>
      <c r="N28" s="56"/>
      <c r="O28" s="39"/>
      <c r="P28" s="56"/>
      <c r="Q28" s="39"/>
      <c r="R28" s="56"/>
      <c r="S28" s="39"/>
      <c r="T28" s="56"/>
      <c r="U28" s="39"/>
    </row>
    <row r="29" spans="1:21" ht="12.75" hidden="1">
      <c r="A29" s="47"/>
      <c r="B29" s="48" t="s">
        <v>49</v>
      </c>
      <c r="C29" s="49">
        <f>Expenses!K22</f>
        <v>113600</v>
      </c>
      <c r="D29" s="50"/>
      <c r="E29" s="60">
        <f>ROUND((E26*Expenses!$L$7)/1000,1)*1000</f>
        <v>123800</v>
      </c>
      <c r="F29" s="80"/>
      <c r="G29" s="60">
        <f>ROUND((G26*Expenses!$L$7)/1000,1)*1000</f>
        <v>130000</v>
      </c>
      <c r="H29" s="80"/>
      <c r="I29" s="60">
        <f>ROUND((I26*Expenses!$L$7)/1000,1)*1000</f>
        <v>131700</v>
      </c>
      <c r="J29" s="80"/>
      <c r="K29" s="60">
        <f>ROUND((K26*Expenses!$L$7)/1000,1)*1000</f>
        <v>136400</v>
      </c>
      <c r="L29" s="80"/>
      <c r="M29" s="60">
        <f>ROUND((M26*Expenses!$L$7)/1000,1)*1000</f>
        <v>141100</v>
      </c>
      <c r="N29" s="80"/>
      <c r="O29" s="60">
        <f>ROUND((O26*Expenses!$L$7)/1000,1)*1000</f>
        <v>0</v>
      </c>
      <c r="P29" s="80"/>
      <c r="Q29" s="60">
        <f>ROUND((Q26*Expenses!$L$7)/1000,1)*1000</f>
        <v>0</v>
      </c>
      <c r="R29" s="80"/>
      <c r="S29" s="60">
        <f>ROUND((S26*Expenses!$L$7)/1000,1)*1000</f>
        <v>0</v>
      </c>
      <c r="T29" s="80"/>
      <c r="U29" s="60">
        <f>ROUND((U26*Expenses!$L$7)/1000,1)*1000</f>
        <v>0</v>
      </c>
    </row>
    <row r="30" spans="1:21" ht="12.75" hidden="1">
      <c r="A30" s="47"/>
      <c r="B30" s="48" t="s">
        <v>50</v>
      </c>
      <c r="C30" s="49">
        <f>Expenses!K23</f>
        <v>204000</v>
      </c>
      <c r="D30" s="50"/>
      <c r="E30" s="60">
        <f>IF(Intro!$E$10&gt;1,ROUND((C30*(1+Expenses!$F$7))/1000,1)*1000,0)</f>
        <v>211100</v>
      </c>
      <c r="F30" s="80"/>
      <c r="G30" s="60">
        <f>IF(Intro!$E$10&gt;2,ROUND((E30*(1+Expenses!$F$7))/1000,1)*1000,0)</f>
        <v>218500</v>
      </c>
      <c r="H30" s="80"/>
      <c r="I30" s="60">
        <f>IF(Intro!$E$10&gt;3,ROUND((G30*(1+Expenses!$F$7))/1000,1)*1000,0)</f>
        <v>226100</v>
      </c>
      <c r="J30" s="80"/>
      <c r="K30" s="60">
        <f>IF(Intro!$E$10&gt;4,ROUND((I30*(1+Expenses!$F$7))/1000,1)*1000,0)</f>
        <v>234000</v>
      </c>
      <c r="L30" s="80"/>
      <c r="M30" s="60">
        <f>IF(Intro!$E$10&gt;5,ROUND((K30*(1+Expenses!$F$7))/1000,1)*1000,0)</f>
        <v>242200</v>
      </c>
      <c r="N30" s="80"/>
      <c r="O30" s="60">
        <f>IF(Intro!$E$10&gt;6,ROUND((M30*(1+Expenses!$F$7))/1000,1)*1000,0)</f>
        <v>0</v>
      </c>
      <c r="P30" s="80"/>
      <c r="Q30" s="60">
        <f>IF(Intro!$E$10&gt;77,ROUND((O30*(1+Expenses!$F$7))/1000,1)*1000,0)</f>
        <v>0</v>
      </c>
      <c r="R30" s="80"/>
      <c r="S30" s="60">
        <f>IF(Intro!$E$10&gt;8,ROUND((Q30*(1+Expenses!$F$7))/1000,1)*1000,0)</f>
        <v>0</v>
      </c>
      <c r="T30" s="80"/>
      <c r="U30" s="60">
        <f>IF(Intro!$E$10&gt;9,ROUND((S30*(1+Expenses!$F$7))/1000,1)*1000,0)</f>
        <v>0</v>
      </c>
    </row>
    <row r="31" spans="1:21" ht="12.75" hidden="1">
      <c r="A31" s="47"/>
      <c r="B31" s="48" t="s">
        <v>51</v>
      </c>
      <c r="C31" s="49">
        <f>Expenses!K24</f>
        <v>109000</v>
      </c>
      <c r="D31" s="50"/>
      <c r="E31" s="60">
        <f>IF(Intro!$E$10&gt;1,ROUND((C31*(1+Expenses!$F$7))/1000,1)*1000,0)</f>
        <v>112800</v>
      </c>
      <c r="F31" s="50"/>
      <c r="G31" s="60">
        <f>IF(Intro!$E$10&gt;2,ROUND((E31*(1+Expenses!$F$7))/1000,1)*1000,0)</f>
        <v>116700</v>
      </c>
      <c r="H31" s="50"/>
      <c r="I31" s="60">
        <f>IF(Intro!$E$10&gt;3,ROUND((G31*(1+Expenses!$F$7))/1000,1)*1000,0)</f>
        <v>120800</v>
      </c>
      <c r="J31" s="50"/>
      <c r="K31" s="60">
        <f>IF(Intro!$E$10&gt;4,ROUND((I31*(1+Expenses!$F$7))/1000,1)*1000,0)</f>
        <v>125000</v>
      </c>
      <c r="L31" s="80"/>
      <c r="M31" s="60">
        <f>IF(Intro!$E$10&gt;5,ROUND((K31*(1+Expenses!$F$7))/1000,1)*1000,0)</f>
        <v>129400</v>
      </c>
      <c r="N31" s="50"/>
      <c r="O31" s="60">
        <f>IF(Intro!$E$10&gt;6,ROUND((M31*(1+Expenses!$F$7))/1000,1)*1000,0)</f>
        <v>0</v>
      </c>
      <c r="P31" s="50"/>
      <c r="Q31" s="60">
        <f>IF(Intro!$E$10&gt;77,ROUND((O31*(1+Expenses!$F$7))/1000,1)*1000,0)</f>
        <v>0</v>
      </c>
      <c r="R31" s="50"/>
      <c r="S31" s="60">
        <f>IF(Intro!$E$10&gt;8,ROUND((Q31*(1+Expenses!$F$7))/1000,1)*1000,0)</f>
        <v>0</v>
      </c>
      <c r="T31" s="50"/>
      <c r="U31" s="60">
        <f>IF(Intro!$E$10&gt;9,ROUND((S31*(1+Expenses!$F$7))/1000,1)*1000,0)</f>
        <v>0</v>
      </c>
    </row>
    <row r="32" spans="1:21" ht="12.75" hidden="1">
      <c r="A32" s="47"/>
      <c r="B32" s="48" t="s">
        <v>52</v>
      </c>
      <c r="C32" s="49">
        <f>Expenses!K25</f>
        <v>36700</v>
      </c>
      <c r="D32" s="50"/>
      <c r="E32" s="60">
        <f>IF(Intro!$E$10&gt;1,ROUND((C32*(1+Expenses!$F$7))/1000,1)*1000,0)</f>
        <v>38000</v>
      </c>
      <c r="F32" s="50"/>
      <c r="G32" s="60">
        <f>IF(Intro!$E$10&gt;2,ROUND((E32*(1+Expenses!$F$7))/1000,1)*1000,0)</f>
        <v>39300</v>
      </c>
      <c r="H32" s="50"/>
      <c r="I32" s="60">
        <f>IF(Intro!$E$10&gt;3,ROUND((G32*(1+Expenses!$F$7))/1000,1)*1000,0)</f>
        <v>40700</v>
      </c>
      <c r="J32" s="50"/>
      <c r="K32" s="60">
        <f>IF(Intro!$E$10&gt;4,ROUND((I32*(1+Expenses!$F$7))/1000,1)*1000,0)</f>
        <v>42100</v>
      </c>
      <c r="L32" s="80"/>
      <c r="M32" s="60">
        <f>IF(Intro!$E$10&gt;5,ROUND((K32*(1+Expenses!$F$7))/1000,1)*1000,0)</f>
        <v>43600</v>
      </c>
      <c r="N32" s="50"/>
      <c r="O32" s="60">
        <f>IF(Intro!$E$10&gt;6,ROUND((M32*(1+Expenses!$F$7))/1000,1)*1000,0)</f>
        <v>0</v>
      </c>
      <c r="P32" s="50"/>
      <c r="Q32" s="60">
        <f>IF(Intro!$E$10&gt;77,ROUND((O32*(1+Expenses!$F$7))/1000,1)*1000,0)</f>
        <v>0</v>
      </c>
      <c r="R32" s="50"/>
      <c r="S32" s="60">
        <f>IF(Intro!$E$10&gt;8,ROUND((Q32*(1+Expenses!$F$7))/1000,1)*1000,0)</f>
        <v>0</v>
      </c>
      <c r="T32" s="50"/>
      <c r="U32" s="60">
        <f>IF(Intro!$E$10&gt;9,ROUND((S32*(1+Expenses!$F$7))/1000,1)*1000,0)</f>
        <v>0</v>
      </c>
    </row>
    <row r="33" spans="1:21" ht="12.75" hidden="1">
      <c r="A33" s="47"/>
      <c r="B33" s="48" t="s">
        <v>53</v>
      </c>
      <c r="C33" s="49">
        <f>Expenses!K26</f>
        <v>21700</v>
      </c>
      <c r="D33" s="50"/>
      <c r="E33" s="60">
        <f>IF(Intro!$E$10&gt;1,ROUND((C33*(1+Expenses!$F$7))/1000,1)*1000,0)</f>
        <v>22500</v>
      </c>
      <c r="F33" s="50"/>
      <c r="G33" s="60">
        <f>IF(Intro!$E$10&gt;2,ROUND((E33*(1+Expenses!$F$7))/1000,1)*1000,0)</f>
        <v>23300</v>
      </c>
      <c r="H33" s="50"/>
      <c r="I33" s="60">
        <f>IF(Intro!$E$10&gt;3,ROUND((G33*(1+Expenses!$F$7))/1000,1)*1000,0)</f>
        <v>24100</v>
      </c>
      <c r="J33" s="50"/>
      <c r="K33" s="60">
        <f>IF(Intro!$E$10&gt;4,ROUND((I33*(1+Expenses!$F$7))/1000,1)*1000,0)</f>
        <v>24900</v>
      </c>
      <c r="L33" s="80"/>
      <c r="M33" s="60">
        <f>IF(Intro!$E$10&gt;5,ROUND((K33*(1+Expenses!$F$7))/1000,1)*1000,0)</f>
        <v>25800</v>
      </c>
      <c r="N33" s="50"/>
      <c r="O33" s="60">
        <f>IF(Intro!$E$10&gt;6,ROUND((M33*(1+Expenses!$F$7))/1000,1)*1000,0)</f>
        <v>0</v>
      </c>
      <c r="P33" s="50"/>
      <c r="Q33" s="60">
        <f>IF(Intro!$E$10&gt;77,ROUND((O33*(1+Expenses!$F$7))/1000,1)*1000,0)</f>
        <v>0</v>
      </c>
      <c r="R33" s="50"/>
      <c r="S33" s="60">
        <f>IF(Intro!$E$10&gt;8,ROUND((Q33*(1+Expenses!$F$7))/1000,1)*1000,0)</f>
        <v>0</v>
      </c>
      <c r="T33" s="50"/>
      <c r="U33" s="60">
        <f>IF(Intro!$E$10&gt;9,ROUND((S33*(1+Expenses!$F$7))/1000,1)*1000,0)</f>
        <v>0</v>
      </c>
    </row>
    <row r="34" spans="1:21" ht="12.75" hidden="1">
      <c r="A34" s="47"/>
      <c r="B34" s="48" t="s">
        <v>54</v>
      </c>
      <c r="C34" s="49">
        <f>Expenses!K27</f>
        <v>33100</v>
      </c>
      <c r="D34" s="50"/>
      <c r="E34" s="60">
        <f>IF(Intro!$E$10&gt;1,ROUND((C34*(1+Expenses!$F$7))/1000,1)*1000,0)</f>
        <v>34300</v>
      </c>
      <c r="F34" s="50"/>
      <c r="G34" s="60">
        <f>IF(Intro!$E$10&gt;2,ROUND((E34*(1+Expenses!$F$7))/1000,1)*1000,0)</f>
        <v>35500</v>
      </c>
      <c r="H34" s="50"/>
      <c r="I34" s="60">
        <f>IF(Intro!$E$10&gt;3,ROUND((G34*(1+Expenses!$F$7))/1000,1)*1000,0)</f>
        <v>36700</v>
      </c>
      <c r="J34" s="50"/>
      <c r="K34" s="60">
        <f>IF(Intro!$E$10&gt;4,ROUND((I34*(1+Expenses!$F$7))/1000,1)*1000,0)</f>
        <v>38000</v>
      </c>
      <c r="L34" s="80"/>
      <c r="M34" s="60">
        <f>IF(Intro!$E$10&gt;5,ROUND((K34*(1+Expenses!$F$7))/1000,1)*1000,0)</f>
        <v>39300</v>
      </c>
      <c r="N34" s="50"/>
      <c r="O34" s="60">
        <f>IF(Intro!$E$10&gt;6,ROUND((M34*(1+Expenses!$F$7))/1000,1)*1000,0)</f>
        <v>0</v>
      </c>
      <c r="P34" s="50"/>
      <c r="Q34" s="60">
        <f>IF(Intro!$E$10&gt;77,ROUND((O34*(1+Expenses!$F$7))/1000,1)*1000,0)</f>
        <v>0</v>
      </c>
      <c r="R34" s="50"/>
      <c r="S34" s="60">
        <f>IF(Intro!$E$10&gt;8,ROUND((Q34*(1+Expenses!$F$7))/1000,1)*1000,0)</f>
        <v>0</v>
      </c>
      <c r="T34" s="50"/>
      <c r="U34" s="60">
        <f>IF(Intro!$E$10&gt;9,ROUND((S34*(1+Expenses!$F$7))/1000,1)*1000,0)</f>
        <v>0</v>
      </c>
    </row>
    <row r="35" spans="1:21" ht="12.75" hidden="1">
      <c r="A35" s="47"/>
      <c r="B35" s="48" t="s">
        <v>55</v>
      </c>
      <c r="C35" s="49">
        <f>Expenses!K28</f>
        <v>188300</v>
      </c>
      <c r="D35" s="50"/>
      <c r="E35" s="60">
        <f>IF(Intro!$E$10&gt;1,ROUND((C35*(1+Expenses!$F$7))/1000,1)*1000,0)</f>
        <v>194900</v>
      </c>
      <c r="F35" s="50"/>
      <c r="G35" s="60">
        <f>IF(Intro!$E$10&gt;2,ROUND((E35*(1+Expenses!$F$7))/1000,1)*1000,0)</f>
        <v>201700</v>
      </c>
      <c r="H35" s="50"/>
      <c r="I35" s="60">
        <f>IF(Intro!$E$10&gt;3,ROUND((G35*(1+Expenses!$F$7))/1000,1)*1000,0)</f>
        <v>208800</v>
      </c>
      <c r="J35" s="50"/>
      <c r="K35" s="60">
        <f>IF(Intro!$E$10&gt;4,ROUND((I35*(1+Expenses!$F$7))/1000,1)*1000,0)</f>
        <v>216100</v>
      </c>
      <c r="L35" s="80"/>
      <c r="M35" s="60">
        <f>IF(Intro!$E$10&gt;5,ROUND((K35*(1+Expenses!$F$7))/1000,1)*1000,0)</f>
        <v>223700</v>
      </c>
      <c r="N35" s="50"/>
      <c r="O35" s="60">
        <f>IF(Intro!$E$10&gt;6,ROUND((M35*(1+Expenses!$F$7))/1000,1)*1000,0)</f>
        <v>0</v>
      </c>
      <c r="P35" s="50"/>
      <c r="Q35" s="60">
        <f>IF(Intro!$E$10&gt;77,ROUND((O35*(1+Expenses!$F$7))/1000,1)*1000,0)</f>
        <v>0</v>
      </c>
      <c r="R35" s="50"/>
      <c r="S35" s="60">
        <f>IF(Intro!$E$10&gt;8,ROUND((Q35*(1+Expenses!$F$7))/1000,1)*1000,0)</f>
        <v>0</v>
      </c>
      <c r="T35" s="50"/>
      <c r="U35" s="60">
        <f>IF(Intro!$E$10&gt;9,ROUND((S35*(1+Expenses!$F$7))/1000,1)*1000,0)</f>
        <v>0</v>
      </c>
    </row>
    <row r="36" spans="1:21" ht="12.75" hidden="1">
      <c r="A36" s="47"/>
      <c r="B36" s="48" t="s">
        <v>56</v>
      </c>
      <c r="C36" s="55">
        <f>Expenses!K29</f>
        <v>300000</v>
      </c>
      <c r="D36" s="50"/>
      <c r="E36" s="61">
        <f>IF(Intro!$E$10&gt;1,ROUND((C36*(1+Expenses!G10))/1000,1)*1000,0)</f>
        <v>300000</v>
      </c>
      <c r="F36" s="80"/>
      <c r="G36" s="61">
        <f>IF(Intro!$E$10&gt;2,ROUND((E36*(1+Expenses!H10))/1000,1)*1000,0)</f>
        <v>300000</v>
      </c>
      <c r="H36" s="80"/>
      <c r="I36" s="61">
        <f>IF(Intro!$E$10&gt;3,ROUND((G36*(1+Expenses!I10))/1000,1)*1000,0)</f>
        <v>375000</v>
      </c>
      <c r="J36" s="80"/>
      <c r="K36" s="61">
        <f>IF(Intro!$E$10&gt;4,ROUND((I36*(1+Expenses!J10))/1000,1)*1000,0)</f>
        <v>375000</v>
      </c>
      <c r="L36" s="80"/>
      <c r="M36" s="61">
        <f>IF(Intro!$E$10&gt;5,ROUND((K36*(1+Expenses!K10))/1000,1)*1000,0)</f>
        <v>375000</v>
      </c>
      <c r="N36" s="80"/>
      <c r="O36" s="61">
        <f>IF(Intro!$E$10&gt;6,ROUND((M36*(1+Expenses!L10))/1000,1)*1000,0)</f>
        <v>0</v>
      </c>
      <c r="P36" s="80"/>
      <c r="Q36" s="61">
        <f>IF(Intro!$E$10&gt;7,ROUND((O36*(1+Expenses!M10))/1000,1)*1000,0)</f>
        <v>0</v>
      </c>
      <c r="R36" s="80"/>
      <c r="S36" s="61">
        <f>IF(Intro!$E$10&gt;8,ROUND((Q36*(1+Expenses!N10))/1000,1)*1000,0)</f>
        <v>0</v>
      </c>
      <c r="T36" s="80"/>
      <c r="U36" s="61">
        <f>IF(Intro!$E$10&gt;9,ROUND((S36*(1+Expenses!O10))/1000,1)*1000,0)</f>
        <v>0</v>
      </c>
    </row>
    <row r="37" spans="1:21" ht="12.75" hidden="1">
      <c r="A37" s="47"/>
      <c r="B37" s="39"/>
      <c r="C37" s="49"/>
      <c r="D37" s="50"/>
      <c r="E37" s="60"/>
      <c r="F37" s="80"/>
      <c r="G37" s="60"/>
      <c r="H37" s="80"/>
      <c r="I37" s="60"/>
      <c r="J37" s="80"/>
      <c r="K37" s="60"/>
      <c r="L37" s="80"/>
      <c r="M37" s="60"/>
      <c r="N37" s="80"/>
      <c r="O37" s="60"/>
      <c r="P37" s="80"/>
      <c r="Q37" s="60"/>
      <c r="R37" s="80"/>
      <c r="S37" s="60"/>
      <c r="T37" s="80"/>
      <c r="U37" s="60"/>
    </row>
    <row r="38" spans="1:21" ht="12.75">
      <c r="A38" s="47"/>
      <c r="B38" s="124" t="s">
        <v>122</v>
      </c>
      <c r="C38" s="125">
        <f>SUM(C29:C36)</f>
        <v>1006400</v>
      </c>
      <c r="D38" s="126"/>
      <c r="E38" s="125">
        <f>SUM(E29:E36)</f>
        <v>1037400</v>
      </c>
      <c r="F38" s="126"/>
      <c r="G38" s="125">
        <f>SUM(G29:G36)</f>
        <v>1065000</v>
      </c>
      <c r="H38" s="126"/>
      <c r="I38" s="125">
        <f>SUM(I29:I36)</f>
        <v>1163900</v>
      </c>
      <c r="J38" s="126"/>
      <c r="K38" s="125">
        <f>SUM(K29:K36)</f>
        <v>1191500</v>
      </c>
      <c r="L38" s="126"/>
      <c r="M38" s="125">
        <f>SUM(M29:M36)</f>
        <v>1220100</v>
      </c>
      <c r="N38" s="50"/>
      <c r="O38" s="125">
        <f>SUM(O29:O36)</f>
        <v>0</v>
      </c>
      <c r="P38" s="126"/>
      <c r="Q38" s="125">
        <f>SUM(Q29:Q36)</f>
        <v>0</v>
      </c>
      <c r="R38" s="126"/>
      <c r="S38" s="125">
        <f>SUM(S29:S36)</f>
        <v>0</v>
      </c>
      <c r="T38" s="126"/>
      <c r="U38" s="125">
        <f>SUM(U29:U36)</f>
        <v>0</v>
      </c>
    </row>
    <row r="39" spans="1:21" ht="12.75">
      <c r="A39" s="47"/>
      <c r="B39" s="34" t="s">
        <v>79</v>
      </c>
      <c r="C39" s="112">
        <f>C26-C38</f>
        <v>1265700</v>
      </c>
      <c r="D39" s="112"/>
      <c r="E39" s="112">
        <f>E26-E38</f>
        <v>1438700</v>
      </c>
      <c r="F39" s="112"/>
      <c r="G39" s="112">
        <f>G26-G38</f>
        <v>1534800</v>
      </c>
      <c r="H39" s="112"/>
      <c r="I39" s="112">
        <f>I26-I38</f>
        <v>1470900</v>
      </c>
      <c r="J39" s="112"/>
      <c r="K39" s="112">
        <f>K26-K38</f>
        <v>1535500</v>
      </c>
      <c r="L39" s="112"/>
      <c r="M39" s="112">
        <f>M26-M38</f>
        <v>1602300</v>
      </c>
      <c r="N39" s="112"/>
      <c r="O39" s="112">
        <f>O26-O38</f>
        <v>0</v>
      </c>
      <c r="P39" s="112"/>
      <c r="Q39" s="112">
        <f>Q26-Q38</f>
        <v>0</v>
      </c>
      <c r="R39" s="112"/>
      <c r="S39" s="112">
        <f>S26-S38</f>
        <v>0</v>
      </c>
      <c r="T39" s="112"/>
      <c r="U39" s="112">
        <f>U26-U38</f>
        <v>0</v>
      </c>
    </row>
    <row r="40" spans="1:21" ht="12.75">
      <c r="A40" s="47"/>
      <c r="B40" s="130" t="s">
        <v>123</v>
      </c>
      <c r="C40" s="127">
        <f>ROUND(Mortgage!D22/1000,1)*1000</f>
        <v>803000</v>
      </c>
      <c r="D40" s="128"/>
      <c r="E40" s="127">
        <f>ROUND(Mortgage!E22/1000,1)*1000</f>
        <v>803000</v>
      </c>
      <c r="F40" s="128"/>
      <c r="G40" s="127">
        <f>ROUND(Mortgage!F22/1000,1)*1000</f>
        <v>803000</v>
      </c>
      <c r="H40" s="128"/>
      <c r="I40" s="127">
        <f>ROUND(Mortgage!G22/1000,1)*1000</f>
        <v>803000</v>
      </c>
      <c r="J40" s="128"/>
      <c r="K40" s="127">
        <f>ROUND(Mortgage!H22/1000,1)*1000</f>
        <v>803000</v>
      </c>
      <c r="L40" s="128"/>
      <c r="M40" s="127">
        <f>ROUND(Mortgage!I22/1000,1)*1000</f>
        <v>803000</v>
      </c>
      <c r="N40" s="128"/>
      <c r="O40" s="127">
        <f>ROUND(Mortgage!J22/1000,1)*1000</f>
        <v>0</v>
      </c>
      <c r="P40" s="128"/>
      <c r="Q40" s="127">
        <f>ROUND(Mortgage!K22/1000,1)*1000</f>
        <v>0</v>
      </c>
      <c r="R40" s="128"/>
      <c r="S40" s="127">
        <f>ROUND(Mortgage!L22/1000,1)*1000</f>
        <v>0</v>
      </c>
      <c r="T40" s="128"/>
      <c r="U40" s="127">
        <f>ROUND(Mortgage!M22/1000,1)*1000</f>
        <v>0</v>
      </c>
    </row>
    <row r="41" spans="1:21" ht="12.75">
      <c r="A41" s="39"/>
      <c r="B41" s="122" t="s">
        <v>102</v>
      </c>
      <c r="C41" s="112">
        <f>C39-C40</f>
        <v>462700</v>
      </c>
      <c r="D41" s="112"/>
      <c r="E41" s="112">
        <f>E39-E40</f>
        <v>635700</v>
      </c>
      <c r="F41" s="112"/>
      <c r="G41" s="112">
        <f>G39-G40</f>
        <v>731800</v>
      </c>
      <c r="H41" s="112"/>
      <c r="I41" s="112">
        <f>I39-I40</f>
        <v>667900</v>
      </c>
      <c r="J41" s="112"/>
      <c r="K41" s="112">
        <f>K39-K40</f>
        <v>732500</v>
      </c>
      <c r="L41" s="112"/>
      <c r="M41" s="112">
        <f>M39-M40</f>
        <v>799300</v>
      </c>
      <c r="N41" s="112"/>
      <c r="O41" s="112">
        <f>O39-O40</f>
        <v>0</v>
      </c>
      <c r="P41" s="112"/>
      <c r="Q41" s="112">
        <f>Q39-Q40</f>
        <v>0</v>
      </c>
      <c r="R41" s="112"/>
      <c r="S41" s="112">
        <f>S39-S40</f>
        <v>0</v>
      </c>
      <c r="T41" s="112"/>
      <c r="U41" s="112">
        <f>U39-U40</f>
        <v>0</v>
      </c>
    </row>
    <row r="42" spans="1:21" ht="12.75">
      <c r="A42" s="39"/>
      <c r="B42" s="131" t="s">
        <v>124</v>
      </c>
      <c r="C42" s="127">
        <f>C18</f>
        <v>123100</v>
      </c>
      <c r="D42" s="126"/>
      <c r="E42" s="127">
        <f>E18</f>
        <v>192200</v>
      </c>
      <c r="F42" s="126"/>
      <c r="G42" s="127">
        <f>G18</f>
        <v>236800</v>
      </c>
      <c r="H42" s="126"/>
      <c r="I42" s="127">
        <f>I18</f>
        <v>217800</v>
      </c>
      <c r="J42" s="126"/>
      <c r="K42" s="127">
        <f>K18</f>
        <v>250800</v>
      </c>
      <c r="L42" s="136"/>
      <c r="M42" s="127">
        <f>M18</f>
        <v>290800</v>
      </c>
      <c r="N42" s="137"/>
      <c r="O42" s="127">
        <f>O18</f>
        <v>0</v>
      </c>
      <c r="P42" s="137"/>
      <c r="Q42" s="127">
        <f>Q18</f>
        <v>0</v>
      </c>
      <c r="R42" s="137"/>
      <c r="S42" s="127">
        <f>S18</f>
        <v>0</v>
      </c>
      <c r="T42" s="137"/>
      <c r="U42" s="127">
        <f>U18</f>
        <v>0</v>
      </c>
    </row>
    <row r="43" spans="1:21" ht="13.5" thickBot="1">
      <c r="A43" s="39"/>
      <c r="B43" s="111" t="s">
        <v>121</v>
      </c>
      <c r="C43" s="81">
        <f>C41-C42</f>
        <v>339600</v>
      </c>
      <c r="D43" s="82"/>
      <c r="E43" s="81">
        <f>E41-E42</f>
        <v>443500</v>
      </c>
      <c r="F43" s="82"/>
      <c r="G43" s="81">
        <f>G41-G42</f>
        <v>495000</v>
      </c>
      <c r="H43" s="82"/>
      <c r="I43" s="81">
        <f>I41-I42</f>
        <v>450100</v>
      </c>
      <c r="J43" s="82"/>
      <c r="K43" s="81">
        <f>K41-K42</f>
        <v>481700</v>
      </c>
      <c r="L43" s="82"/>
      <c r="M43" s="81">
        <f>M41-M42</f>
        <v>508500</v>
      </c>
      <c r="N43" s="82"/>
      <c r="O43" s="81">
        <f>O41-O42</f>
        <v>0</v>
      </c>
      <c r="P43" s="82"/>
      <c r="Q43" s="81">
        <f>Q41-Q42</f>
        <v>0</v>
      </c>
      <c r="R43" s="82"/>
      <c r="S43" s="81">
        <f>S41-S42</f>
        <v>0</v>
      </c>
      <c r="T43" s="82"/>
      <c r="U43" s="81">
        <f>U41-U42</f>
        <v>0</v>
      </c>
    </row>
    <row r="44" spans="1:21" ht="13.5" thickTop="1">
      <c r="A44" s="39"/>
      <c r="B44" s="39"/>
      <c r="C44" s="80"/>
      <c r="D44" s="50"/>
      <c r="E44" s="80"/>
      <c r="F44" s="50"/>
      <c r="G44" s="80"/>
      <c r="H44" s="50"/>
      <c r="I44" s="80"/>
      <c r="J44" s="50"/>
      <c r="K44" s="80"/>
      <c r="L44" s="80"/>
      <c r="M44" s="80"/>
      <c r="N44" s="39"/>
      <c r="O44" s="39"/>
      <c r="P44" s="39"/>
      <c r="Q44" s="39"/>
      <c r="R44" s="39"/>
      <c r="S44" s="39"/>
      <c r="T44" s="39"/>
      <c r="U44" s="39"/>
    </row>
    <row r="45" spans="1:2" ht="12.75">
      <c r="A45" s="39"/>
      <c r="B45" s="39"/>
    </row>
    <row r="46" spans="1:23" ht="12.75">
      <c r="A46" s="39"/>
      <c r="B46" s="39"/>
      <c r="C46" s="39"/>
      <c r="D46" s="3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39"/>
      <c r="Q46" s="39"/>
      <c r="R46" s="39"/>
      <c r="S46" s="39"/>
      <c r="T46" s="39"/>
      <c r="U46" s="39"/>
      <c r="V46" s="39"/>
      <c r="W46" s="39"/>
    </row>
    <row r="47" spans="1:23" ht="12.75">
      <c r="A47" s="39"/>
      <c r="B47" s="39"/>
      <c r="C47" s="39"/>
      <c r="D47" s="39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39"/>
      <c r="Q47" s="39"/>
      <c r="R47" s="39"/>
      <c r="S47" s="39"/>
      <c r="T47" s="39"/>
      <c r="U47" s="39"/>
      <c r="V47" s="39"/>
      <c r="W47" s="39"/>
    </row>
    <row r="48" spans="1:2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</sheetData>
  <mergeCells count="4">
    <mergeCell ref="F9:G9"/>
    <mergeCell ref="J9:K9"/>
    <mergeCell ref="N9:O9"/>
    <mergeCell ref="R9:S9"/>
  </mergeCells>
  <printOptions/>
  <pageMargins left="0.75" right="0.75" top="1" bottom="1" header="0.5" footer="0.5"/>
  <pageSetup orientation="portrait" paperSize="9"/>
  <ignoredErrors>
    <ignoredError sqref="C42 E42 G42 I42 K42 M42 O42 Q42 S42 U4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K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7109375" style="0" customWidth="1"/>
    <col min="3" max="3" width="10.7109375" style="0" customWidth="1"/>
    <col min="4" max="4" width="12.7109375" style="0" customWidth="1"/>
    <col min="5" max="5" width="14.7109375" style="0" customWidth="1"/>
    <col min="6" max="6" width="12.7109375" style="0" customWidth="1"/>
    <col min="7" max="7" width="8.7109375" style="0" customWidth="1"/>
    <col min="8" max="8" width="16.7109375" style="0" customWidth="1"/>
    <col min="9" max="9" width="18.7109375" style="0" customWidth="1"/>
    <col min="10" max="10" width="7.7109375" style="0" customWidth="1"/>
    <col min="11" max="11" width="16.7109375" style="0" customWidth="1"/>
    <col min="12" max="12" width="12.28125" style="0" bestFit="1" customWidth="1"/>
  </cols>
  <sheetData>
    <row r="2" spans="2:5" ht="18">
      <c r="B2" s="20" t="s">
        <v>182</v>
      </c>
      <c r="C2" s="20"/>
      <c r="E2" s="207" t="s">
        <v>175</v>
      </c>
    </row>
    <row r="4" spans="2:3" ht="12.75">
      <c r="B4" s="22" t="s">
        <v>128</v>
      </c>
      <c r="C4" s="22"/>
    </row>
    <row r="5" ht="12.75">
      <c r="B5" t="s">
        <v>159</v>
      </c>
    </row>
    <row r="6" ht="12.75">
      <c r="B6" s="1" t="s">
        <v>272</v>
      </c>
    </row>
    <row r="7" ht="12.75">
      <c r="B7" s="1"/>
    </row>
    <row r="9" spans="3:11" ht="12.75">
      <c r="C9" s="71" t="s">
        <v>0</v>
      </c>
      <c r="D9" s="103">
        <v>11444500</v>
      </c>
      <c r="E9" s="71" t="s">
        <v>130</v>
      </c>
      <c r="F9" s="103">
        <v>17800000</v>
      </c>
      <c r="G9" s="156"/>
      <c r="H9" s="138" t="s">
        <v>139</v>
      </c>
      <c r="I9" s="138"/>
      <c r="J9" s="19"/>
      <c r="K9" s="77"/>
    </row>
    <row r="10" spans="3:7" ht="12.75">
      <c r="C10" s="71" t="s">
        <v>129</v>
      </c>
      <c r="D10" s="103">
        <v>150000</v>
      </c>
      <c r="E10" s="71" t="s">
        <v>131</v>
      </c>
      <c r="F10" s="103">
        <v>890000</v>
      </c>
      <c r="G10" s="156"/>
    </row>
    <row r="11" spans="5:11" ht="12.75">
      <c r="E11" s="140"/>
      <c r="H11" s="39" t="s">
        <v>136</v>
      </c>
      <c r="I11" s="39"/>
      <c r="J11" s="39"/>
      <c r="K11" s="143">
        <f>F9</f>
        <v>17800000</v>
      </c>
    </row>
    <row r="12" spans="5:11" ht="12.75">
      <c r="E12" s="140" t="s">
        <v>160</v>
      </c>
      <c r="F12" s="150">
        <v>0.2</v>
      </c>
      <c r="H12" s="130" t="s">
        <v>145</v>
      </c>
      <c r="I12" s="39"/>
      <c r="J12" s="39"/>
      <c r="K12" s="144">
        <f>F30</f>
        <v>10483500</v>
      </c>
    </row>
    <row r="13" spans="5:11" ht="12.75">
      <c r="E13" s="140" t="s">
        <v>141</v>
      </c>
      <c r="F13" s="150">
        <v>0.25</v>
      </c>
      <c r="H13" s="39" t="s">
        <v>137</v>
      </c>
      <c r="I13" s="39"/>
      <c r="J13" s="39"/>
      <c r="K13" s="143">
        <f>K11-K12</f>
        <v>7316500</v>
      </c>
    </row>
    <row r="14" spans="8:11" ht="12.75" customHeight="1">
      <c r="H14" s="130" t="s">
        <v>146</v>
      </c>
      <c r="I14" s="39"/>
      <c r="J14" s="39"/>
      <c r="K14" s="144">
        <f>F27</f>
        <v>2001000</v>
      </c>
    </row>
    <row r="15" spans="6:11" ht="12.75">
      <c r="F15" s="39"/>
      <c r="G15" s="39"/>
      <c r="H15" s="39" t="s">
        <v>138</v>
      </c>
      <c r="I15" s="39"/>
      <c r="J15" s="39"/>
      <c r="K15" s="146">
        <f>K13-K14</f>
        <v>5315500</v>
      </c>
    </row>
    <row r="16" spans="5:7" ht="12.75">
      <c r="E16" s="140" t="s">
        <v>22</v>
      </c>
      <c r="F16" s="153">
        <f>Intro!E10</f>
        <v>6</v>
      </c>
      <c r="G16" s="39"/>
    </row>
    <row r="17" spans="4:11" ht="12.75">
      <c r="D17" s="140"/>
      <c r="F17" s="39"/>
      <c r="G17" s="39"/>
      <c r="H17" s="39" t="s">
        <v>147</v>
      </c>
      <c r="I17" s="39"/>
      <c r="J17" s="39"/>
      <c r="K17" s="143">
        <f>ROUND(K14*F13/1000,1)*1000</f>
        <v>500300</v>
      </c>
    </row>
    <row r="18" spans="5:11" ht="12.75">
      <c r="E18" s="140" t="s">
        <v>153</v>
      </c>
      <c r="F18" s="154">
        <f>IF($F$16=2,Mortgage!E24,IF($F$16=3,Mortgage!F24,IF($F$16=4,Mortgage!G24,IF($F$16=5,Mortgage!H24,IF($F$16=6,Mortgage!I24,IF($F$16=7,Mortgage!J24,IF($F$16=8,Mortgage!K24,IF($F$16=9,Mortgage!L24,Mortgage!M24))))))))</f>
        <v>6750123.796651147</v>
      </c>
      <c r="G18" s="39"/>
      <c r="H18" s="39" t="s">
        <v>148</v>
      </c>
      <c r="I18" s="39"/>
      <c r="J18" s="39"/>
      <c r="K18" s="143">
        <f>ROUND(K15*F12/1000,1)*1000</f>
        <v>1063100</v>
      </c>
    </row>
    <row r="19" spans="6:11" ht="12.75">
      <c r="F19" s="155" t="s">
        <v>158</v>
      </c>
      <c r="G19" s="39"/>
      <c r="H19" s="149" t="s">
        <v>156</v>
      </c>
      <c r="I19" s="39"/>
      <c r="J19" s="39"/>
      <c r="K19" s="152">
        <f>+K17+K18</f>
        <v>1563400</v>
      </c>
    </row>
    <row r="20" spans="6:11" ht="12.75">
      <c r="F20" s="39"/>
      <c r="G20" s="39"/>
      <c r="H20" s="56"/>
      <c r="I20" s="39"/>
      <c r="J20" s="39"/>
      <c r="K20" s="39"/>
    </row>
    <row r="21" spans="6:7" ht="12.75">
      <c r="F21" s="39"/>
      <c r="G21" s="39"/>
    </row>
    <row r="22" spans="3:11" ht="12.75">
      <c r="C22" s="138" t="s">
        <v>140</v>
      </c>
      <c r="D22" s="138"/>
      <c r="E22" s="139"/>
      <c r="F22" s="139"/>
      <c r="G22" s="39"/>
      <c r="H22" s="147" t="s">
        <v>149</v>
      </c>
      <c r="I22" s="77"/>
      <c r="J22" s="141"/>
      <c r="K22" s="142"/>
    </row>
    <row r="23" spans="7:11" ht="12.75">
      <c r="G23" s="39"/>
      <c r="H23" s="39"/>
      <c r="J23" s="39"/>
      <c r="K23" s="39"/>
    </row>
    <row r="24" spans="3:11" ht="12.75" customHeight="1">
      <c r="C24" s="39" t="s">
        <v>132</v>
      </c>
      <c r="D24" s="39"/>
      <c r="E24" s="39"/>
      <c r="F24" s="143">
        <f>D9</f>
        <v>11444500</v>
      </c>
      <c r="G24" s="39"/>
      <c r="H24" s="39" t="s">
        <v>136</v>
      </c>
      <c r="J24" s="39"/>
      <c r="K24" s="143">
        <f>F9</f>
        <v>17800000</v>
      </c>
    </row>
    <row r="25" spans="3:11" ht="12.75">
      <c r="C25" s="130" t="s">
        <v>144</v>
      </c>
      <c r="D25" s="130"/>
      <c r="E25" s="39"/>
      <c r="F25" s="144">
        <f>D10</f>
        <v>150000</v>
      </c>
      <c r="G25" s="39"/>
      <c r="H25" s="132" t="s">
        <v>150</v>
      </c>
      <c r="J25" s="39"/>
      <c r="K25" s="144">
        <f>F10</f>
        <v>890000</v>
      </c>
    </row>
    <row r="26" spans="3:11" ht="12.75">
      <c r="C26" s="39" t="s">
        <v>133</v>
      </c>
      <c r="D26" s="39"/>
      <c r="E26" s="39"/>
      <c r="F26" s="143">
        <f>F24+F25</f>
        <v>11594500</v>
      </c>
      <c r="G26" s="39"/>
      <c r="H26" s="39" t="s">
        <v>151</v>
      </c>
      <c r="J26" s="39"/>
      <c r="K26" s="143">
        <f>K24-K25</f>
        <v>16910000</v>
      </c>
    </row>
    <row r="27" spans="3:11" ht="12.75">
      <c r="C27" s="130" t="s">
        <v>142</v>
      </c>
      <c r="D27" s="130"/>
      <c r="E27" s="39"/>
      <c r="F27" s="148">
        <f>SUM(ATCF!C15:U15)</f>
        <v>2001000</v>
      </c>
      <c r="G27" s="39"/>
      <c r="H27" s="132" t="s">
        <v>154</v>
      </c>
      <c r="J27" s="39"/>
      <c r="K27" s="148">
        <f>ROUND(F18/1000,1)*1000</f>
        <v>6750100</v>
      </c>
    </row>
    <row r="28" spans="3:11" ht="12.75">
      <c r="C28" s="39" t="s">
        <v>134</v>
      </c>
      <c r="D28" s="39"/>
      <c r="E28" s="39"/>
      <c r="F28" s="143">
        <f>F26-F27</f>
        <v>9593500</v>
      </c>
      <c r="G28" s="39"/>
      <c r="H28" s="39" t="s">
        <v>155</v>
      </c>
      <c r="J28" s="39"/>
      <c r="K28" s="146">
        <f>K26-K27</f>
        <v>10159900</v>
      </c>
    </row>
    <row r="29" spans="3:11" ht="12.75">
      <c r="C29" s="130" t="s">
        <v>143</v>
      </c>
      <c r="D29" s="130"/>
      <c r="E29" s="39"/>
      <c r="F29" s="144">
        <f>F10</f>
        <v>890000</v>
      </c>
      <c r="G29" s="39"/>
      <c r="H29" s="132" t="s">
        <v>157</v>
      </c>
      <c r="J29" s="39"/>
      <c r="K29" s="148">
        <f>K19</f>
        <v>1563400</v>
      </c>
    </row>
    <row r="30" spans="3:11" ht="13.5" thickBot="1">
      <c r="C30" s="39" t="s">
        <v>135</v>
      </c>
      <c r="D30" s="39"/>
      <c r="E30" s="39"/>
      <c r="F30" s="145">
        <f>F28+F29</f>
        <v>10483500</v>
      </c>
      <c r="G30" s="39"/>
      <c r="H30" s="58" t="s">
        <v>161</v>
      </c>
      <c r="J30" s="39"/>
      <c r="K30" s="151">
        <f>K28-K29</f>
        <v>8596500</v>
      </c>
    </row>
    <row r="31" ht="13.5" thickTop="1">
      <c r="G31" s="39"/>
    </row>
    <row r="32" ht="12.75">
      <c r="G32" s="39"/>
    </row>
  </sheetData>
  <printOptions/>
  <pageMargins left="0.75" right="0.75" top="1" bottom="1" header="0.5" footer="0.5"/>
  <pageSetup orientation="portrait" paperSize="9"/>
  <ignoredErrors>
    <ignoredError sqref="K14 K27 K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U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10.7109375" style="0" customWidth="1"/>
    <col min="4" max="4" width="11.28125" style="0" customWidth="1"/>
    <col min="5" max="5" width="8.421875" style="0" customWidth="1"/>
    <col min="6" max="6" width="12.7109375" style="0" customWidth="1"/>
    <col min="7" max="7" width="6.7109375" style="0" customWidth="1"/>
    <col min="8" max="8" width="12.7109375" style="0" customWidth="1"/>
    <col min="9" max="9" width="6.7109375" style="0" customWidth="1"/>
    <col min="10" max="10" width="12.7109375" style="0" customWidth="1"/>
    <col min="11" max="11" width="9.7109375" style="0" customWidth="1"/>
    <col min="12" max="19" width="8.7109375" style="0" customWidth="1"/>
  </cols>
  <sheetData>
    <row r="2" spans="2:5" ht="18">
      <c r="B2" s="20" t="s">
        <v>192</v>
      </c>
      <c r="D2" s="44"/>
      <c r="E2" s="209" t="s">
        <v>184</v>
      </c>
    </row>
    <row r="3" spans="2:4" ht="12.75" customHeight="1">
      <c r="B3" s="67"/>
      <c r="D3" s="44"/>
    </row>
    <row r="4" spans="2:4" ht="12.75" customHeight="1">
      <c r="B4" s="67" t="s">
        <v>198</v>
      </c>
      <c r="D4" s="44"/>
    </row>
    <row r="5" spans="2:4" ht="12.75" customHeight="1">
      <c r="B5" s="67" t="s">
        <v>199</v>
      </c>
      <c r="D5" s="44"/>
    </row>
    <row r="6" spans="2:4" ht="12.75" customHeight="1">
      <c r="B6" s="67" t="s">
        <v>200</v>
      </c>
      <c r="D6" s="1" t="s">
        <v>272</v>
      </c>
    </row>
    <row r="7" spans="2:4" ht="12.75" customHeight="1">
      <c r="B7" s="67"/>
      <c r="D7" s="44"/>
    </row>
    <row r="8" spans="2:4" ht="12.75" customHeight="1">
      <c r="B8" s="248" t="s">
        <v>187</v>
      </c>
      <c r="D8" s="44"/>
    </row>
    <row r="9" spans="1:21" ht="12.75" customHeight="1">
      <c r="A9" s="39"/>
      <c r="B9" s="39"/>
      <c r="D9" s="104" t="s">
        <v>188</v>
      </c>
      <c r="E9" s="46"/>
      <c r="F9" s="105" t="s">
        <v>189</v>
      </c>
      <c r="G9" s="46"/>
      <c r="H9" s="224" t="s">
        <v>194</v>
      </c>
      <c r="I9" s="223"/>
      <c r="J9" s="104"/>
      <c r="K9" s="46"/>
      <c r="L9" s="46"/>
      <c r="M9" s="46"/>
      <c r="N9" s="46"/>
      <c r="O9" s="46"/>
      <c r="P9" s="46"/>
      <c r="Q9" s="46"/>
      <c r="R9" s="46"/>
      <c r="S9" s="46"/>
      <c r="T9" s="29"/>
      <c r="U9" s="29"/>
    </row>
    <row r="10" spans="1:21" ht="12.75" customHeight="1">
      <c r="A10" s="47"/>
      <c r="B10" s="48"/>
      <c r="C10" s="50"/>
      <c r="D10" s="104"/>
      <c r="E10" s="52"/>
      <c r="F10" s="226">
        <f>Sale!$D$9</f>
        <v>11444500</v>
      </c>
      <c r="G10" s="102" t="s">
        <v>94</v>
      </c>
      <c r="H10" s="226">
        <f>Operating!$C$9</f>
        <v>2346100</v>
      </c>
      <c r="I10" s="102" t="s">
        <v>91</v>
      </c>
      <c r="J10" s="229">
        <f>F10/H10</f>
        <v>4.8780955628489835</v>
      </c>
      <c r="K10" s="52"/>
      <c r="L10" s="52"/>
      <c r="M10" s="52"/>
      <c r="N10" s="52"/>
      <c r="O10" s="52"/>
      <c r="P10" s="52"/>
      <c r="Q10" s="52"/>
      <c r="R10" s="52"/>
      <c r="S10" s="52"/>
      <c r="T10" s="29"/>
      <c r="U10" s="29"/>
    </row>
    <row r="11" spans="1:21" ht="12.75" customHeight="1">
      <c r="A11" s="47"/>
      <c r="B11" s="48"/>
      <c r="C11" s="54"/>
      <c r="D11" s="54"/>
      <c r="E11" s="54"/>
      <c r="F11" s="221"/>
      <c r="G11" s="54"/>
      <c r="H11" s="54"/>
      <c r="I11" s="54"/>
      <c r="J11" s="217"/>
      <c r="K11" s="54"/>
      <c r="L11" s="54"/>
      <c r="M11" s="54"/>
      <c r="N11" s="54"/>
      <c r="O11" s="54"/>
      <c r="P11" s="54"/>
      <c r="Q11" s="54"/>
      <c r="R11" s="54"/>
      <c r="S11" s="54"/>
      <c r="T11" s="29"/>
      <c r="U11" s="29"/>
    </row>
    <row r="12" spans="1:21" ht="12.75" customHeight="1">
      <c r="A12" s="47"/>
      <c r="B12" s="48"/>
      <c r="C12" s="52"/>
      <c r="D12" s="104" t="s">
        <v>190</v>
      </c>
      <c r="E12" s="52"/>
      <c r="F12" s="105" t="s">
        <v>189</v>
      </c>
      <c r="G12" s="52"/>
      <c r="H12" s="225" t="s">
        <v>11</v>
      </c>
      <c r="I12" s="52"/>
      <c r="J12" s="104"/>
      <c r="K12" s="107"/>
      <c r="L12" s="107"/>
      <c r="M12" s="54"/>
      <c r="N12" s="54"/>
      <c r="O12" s="54"/>
      <c r="P12" s="54"/>
      <c r="Q12" s="54"/>
      <c r="R12" s="54"/>
      <c r="S12" s="54"/>
      <c r="T12" s="29"/>
      <c r="U12" s="29"/>
    </row>
    <row r="13" spans="1:21" ht="12.75" customHeight="1">
      <c r="A13" s="47"/>
      <c r="B13" s="39"/>
      <c r="C13" s="52"/>
      <c r="D13" s="52"/>
      <c r="E13" s="52"/>
      <c r="F13" s="226">
        <f>Sale!$D$9</f>
        <v>11444500</v>
      </c>
      <c r="G13" s="102" t="s">
        <v>94</v>
      </c>
      <c r="H13" s="226">
        <f>Operating!$C$13</f>
        <v>2272100</v>
      </c>
      <c r="I13" s="102" t="s">
        <v>91</v>
      </c>
      <c r="J13" s="229">
        <f>F13/H13</f>
        <v>5.036970203776242</v>
      </c>
      <c r="K13" s="52"/>
      <c r="L13" s="52"/>
      <c r="M13" s="52"/>
      <c r="N13" s="52"/>
      <c r="O13" s="52"/>
      <c r="P13" s="52"/>
      <c r="Q13" s="52"/>
      <c r="R13" s="52"/>
      <c r="S13" s="52"/>
      <c r="T13" s="29"/>
      <c r="U13" s="29"/>
    </row>
    <row r="14" spans="1:21" ht="12.75" customHeight="1">
      <c r="A14" s="47"/>
      <c r="B14" s="48"/>
      <c r="C14" s="50"/>
      <c r="D14" s="50"/>
      <c r="E14" s="50"/>
      <c r="F14" s="222"/>
      <c r="G14" s="50"/>
      <c r="H14" s="156"/>
      <c r="I14" s="50"/>
      <c r="J14" s="227"/>
      <c r="K14" s="50"/>
      <c r="L14" s="50"/>
      <c r="M14" s="50"/>
      <c r="N14" s="50"/>
      <c r="O14" s="50"/>
      <c r="P14" s="50"/>
      <c r="Q14" s="50"/>
      <c r="R14" s="50"/>
      <c r="S14" s="50"/>
      <c r="T14" s="29"/>
      <c r="U14" s="29"/>
    </row>
    <row r="15" spans="1:21" ht="12.75" customHeight="1">
      <c r="A15" s="39"/>
      <c r="B15" s="39"/>
      <c r="D15" s="104" t="s">
        <v>191</v>
      </c>
      <c r="E15" s="46"/>
      <c r="F15" s="105" t="s">
        <v>189</v>
      </c>
      <c r="G15" s="46"/>
      <c r="H15" s="225" t="s">
        <v>13</v>
      </c>
      <c r="I15" s="46"/>
      <c r="J15" s="104"/>
      <c r="K15" s="80"/>
      <c r="L15" s="56"/>
      <c r="M15" s="56"/>
      <c r="N15" s="56"/>
      <c r="O15" s="56"/>
      <c r="P15" s="56"/>
      <c r="Q15" s="56"/>
      <c r="R15" s="56"/>
      <c r="S15" s="56"/>
      <c r="T15" s="29"/>
      <c r="U15" s="29"/>
    </row>
    <row r="16" spans="1:21" ht="12.75" customHeight="1">
      <c r="A16" s="39"/>
      <c r="B16" s="48"/>
      <c r="C16" s="50"/>
      <c r="D16" s="104"/>
      <c r="E16" s="52"/>
      <c r="F16" s="226">
        <f>Sale!$D$9</f>
        <v>11444500</v>
      </c>
      <c r="G16" s="102" t="s">
        <v>94</v>
      </c>
      <c r="H16" s="226">
        <f>Operating!$C$27</f>
        <v>1265700</v>
      </c>
      <c r="I16" s="102" t="s">
        <v>91</v>
      </c>
      <c r="J16" s="229">
        <f>F16/H16</f>
        <v>9.04203207711148</v>
      </c>
      <c r="K16" s="56"/>
      <c r="L16" s="56"/>
      <c r="M16" s="56"/>
      <c r="N16" s="56"/>
      <c r="O16" s="56"/>
      <c r="P16" s="56"/>
      <c r="Q16" s="56"/>
      <c r="R16" s="56"/>
      <c r="S16" s="56"/>
      <c r="T16" s="29"/>
      <c r="U16" s="29"/>
    </row>
    <row r="17" spans="1:21" ht="12.75" customHeight="1">
      <c r="A17" s="39"/>
      <c r="B17" s="233"/>
      <c r="C17" s="54"/>
      <c r="D17" s="54"/>
      <c r="E17" s="54"/>
      <c r="F17" s="54"/>
      <c r="G17" s="54"/>
      <c r="H17" s="216"/>
      <c r="I17" s="54"/>
      <c r="J17" s="217"/>
      <c r="K17" s="50"/>
      <c r="L17" s="56"/>
      <c r="M17" s="56"/>
      <c r="N17" s="56"/>
      <c r="O17" s="56"/>
      <c r="P17" s="56"/>
      <c r="Q17" s="56"/>
      <c r="R17" s="56"/>
      <c r="S17" s="56"/>
      <c r="T17" s="29"/>
      <c r="U17" s="29"/>
    </row>
    <row r="18" spans="1:21" ht="12.75" customHeight="1">
      <c r="A18" s="39"/>
      <c r="B18" s="233"/>
      <c r="C18" s="54"/>
      <c r="D18" s="54"/>
      <c r="E18" s="54"/>
      <c r="F18" s="54"/>
      <c r="G18" s="54"/>
      <c r="H18" s="216"/>
      <c r="I18" s="54"/>
      <c r="J18" s="217"/>
      <c r="K18" s="50"/>
      <c r="L18" s="56"/>
      <c r="M18" s="56"/>
      <c r="N18" s="56"/>
      <c r="O18" s="56"/>
      <c r="P18" s="56"/>
      <c r="Q18" s="56"/>
      <c r="R18" s="56"/>
      <c r="S18" s="56"/>
      <c r="T18" s="29"/>
      <c r="U18" s="29"/>
    </row>
    <row r="19" spans="1:19" ht="12.75" customHeight="1">
      <c r="A19" s="39"/>
      <c r="B19" s="248" t="s">
        <v>212</v>
      </c>
      <c r="C19" s="29"/>
      <c r="D19" s="240"/>
      <c r="J19" s="68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 customHeight="1">
      <c r="A20" s="39"/>
      <c r="B20" s="1"/>
      <c r="D20" s="44"/>
      <c r="J20" s="68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.75" customHeight="1">
      <c r="A21" s="39"/>
      <c r="B21" s="39"/>
      <c r="C21" s="52"/>
      <c r="D21" s="104" t="s">
        <v>96</v>
      </c>
      <c r="E21" s="52"/>
      <c r="F21" s="224" t="s">
        <v>194</v>
      </c>
      <c r="G21" s="52"/>
      <c r="H21" s="219" t="s">
        <v>95</v>
      </c>
      <c r="I21" s="46"/>
      <c r="J21" s="104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.75">
      <c r="A22" s="39"/>
      <c r="B22" s="48"/>
      <c r="C22" s="52"/>
      <c r="D22" s="52"/>
      <c r="E22" s="52"/>
      <c r="F22" s="226">
        <f>Operating!$C$9</f>
        <v>2346100</v>
      </c>
      <c r="G22" s="102" t="s">
        <v>93</v>
      </c>
      <c r="H22" s="234">
        <v>5</v>
      </c>
      <c r="I22" s="102" t="s">
        <v>91</v>
      </c>
      <c r="J22" s="230">
        <f>F22*H22</f>
        <v>11730500</v>
      </c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.75">
      <c r="A23" s="39"/>
      <c r="B23" s="48"/>
      <c r="C23" s="54"/>
      <c r="D23" s="54"/>
      <c r="E23" s="54"/>
      <c r="F23" s="54"/>
      <c r="G23" s="54"/>
      <c r="H23" s="235"/>
      <c r="I23" s="54"/>
      <c r="J23" s="217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.75">
      <c r="A24" s="39"/>
      <c r="B24" s="48"/>
      <c r="C24" s="52"/>
      <c r="D24" s="104" t="s">
        <v>195</v>
      </c>
      <c r="E24" s="52"/>
      <c r="F24" s="225" t="s">
        <v>11</v>
      </c>
      <c r="G24" s="52"/>
      <c r="H24" s="236" t="s">
        <v>196</v>
      </c>
      <c r="I24" s="52"/>
      <c r="J24" s="104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.75">
      <c r="A25" s="39"/>
      <c r="B25" s="39"/>
      <c r="C25" s="52"/>
      <c r="D25" s="52"/>
      <c r="E25" s="52"/>
      <c r="F25" s="226">
        <f>Operating!$C$13</f>
        <v>2272100</v>
      </c>
      <c r="G25" s="102" t="s">
        <v>93</v>
      </c>
      <c r="H25" s="234">
        <v>5</v>
      </c>
      <c r="I25" s="52"/>
      <c r="J25" s="230">
        <f>F25*H25</f>
        <v>11360500</v>
      </c>
      <c r="K25" s="39"/>
      <c r="L25" s="39"/>
      <c r="M25" s="39"/>
      <c r="N25" s="39"/>
      <c r="O25" s="39"/>
      <c r="P25" s="39"/>
      <c r="Q25" s="39"/>
      <c r="R25" s="39"/>
      <c r="S25" s="39"/>
    </row>
    <row r="26" spans="2:10" ht="12.75">
      <c r="B26" s="48"/>
      <c r="C26" s="50"/>
      <c r="D26" s="50"/>
      <c r="E26" s="50"/>
      <c r="F26" s="156"/>
      <c r="G26" s="50"/>
      <c r="H26" s="237"/>
      <c r="I26" s="50"/>
      <c r="J26" s="218"/>
    </row>
    <row r="27" spans="2:10" ht="12.75">
      <c r="B27" s="39"/>
      <c r="D27" s="104" t="s">
        <v>205</v>
      </c>
      <c r="E27" s="46"/>
      <c r="F27" s="225" t="s">
        <v>13</v>
      </c>
      <c r="G27" s="46"/>
      <c r="H27" s="236" t="s">
        <v>201</v>
      </c>
      <c r="I27" s="46"/>
      <c r="J27" s="104"/>
    </row>
    <row r="28" spans="2:10" ht="12.75">
      <c r="B28" s="48"/>
      <c r="C28" s="50"/>
      <c r="D28" s="104"/>
      <c r="E28" s="52"/>
      <c r="F28" s="226">
        <f>Operating!$C$27</f>
        <v>1265700</v>
      </c>
      <c r="G28" s="102" t="s">
        <v>93</v>
      </c>
      <c r="H28" s="234">
        <v>9</v>
      </c>
      <c r="I28" s="102" t="s">
        <v>91</v>
      </c>
      <c r="J28" s="230">
        <f>F28*H28</f>
        <v>11391300</v>
      </c>
    </row>
    <row r="29" spans="2:10" ht="12.75">
      <c r="B29" s="48"/>
      <c r="C29" s="54"/>
      <c r="D29" s="54"/>
      <c r="E29" s="54"/>
      <c r="F29" s="54"/>
      <c r="G29" s="54"/>
      <c r="H29" s="54"/>
      <c r="I29" s="54"/>
      <c r="J29" s="54"/>
    </row>
    <row r="30" spans="2:10" ht="12.75">
      <c r="B30" s="48"/>
      <c r="C30" s="54"/>
      <c r="D30" s="54"/>
      <c r="E30" s="54"/>
      <c r="F30" s="54"/>
      <c r="G30" s="54"/>
      <c r="H30" s="54"/>
      <c r="I30" s="54"/>
      <c r="J30" s="54"/>
    </row>
    <row r="31" ht="12.75">
      <c r="B31" s="6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5" width="10.7109375" style="0" customWidth="1"/>
    <col min="6" max="6" width="12.7109375" style="0" customWidth="1"/>
    <col min="7" max="7" width="6.7109375" style="0" customWidth="1"/>
    <col min="8" max="8" width="12.7109375" style="0" customWidth="1"/>
    <col min="9" max="9" width="6.7109375" style="0" customWidth="1"/>
    <col min="10" max="10" width="12.7109375" style="0" customWidth="1"/>
    <col min="11" max="11" width="9.7109375" style="0" customWidth="1"/>
    <col min="12" max="19" width="8.7109375" style="0" customWidth="1"/>
  </cols>
  <sheetData>
    <row r="2" spans="2:7" ht="18">
      <c r="B2" s="20" t="s">
        <v>193</v>
      </c>
      <c r="D2" s="44"/>
      <c r="G2" s="209" t="s">
        <v>184</v>
      </c>
    </row>
    <row r="3" spans="2:4" ht="9" customHeight="1">
      <c r="B3" s="67"/>
      <c r="D3" s="44"/>
    </row>
    <row r="4" spans="2:4" ht="12.75" customHeight="1">
      <c r="B4" s="67" t="s">
        <v>218</v>
      </c>
      <c r="D4" s="44"/>
    </row>
    <row r="5" spans="2:8" ht="12.75" customHeight="1">
      <c r="B5" s="67" t="s">
        <v>217</v>
      </c>
      <c r="D5" s="44"/>
      <c r="H5" s="1" t="s">
        <v>272</v>
      </c>
    </row>
    <row r="6" spans="2:4" ht="12.75" customHeight="1">
      <c r="B6" s="67"/>
      <c r="D6" s="44"/>
    </row>
    <row r="7" spans="2:4" ht="12.75" customHeight="1">
      <c r="B7" s="1" t="s">
        <v>206</v>
      </c>
      <c r="D7" s="44"/>
    </row>
    <row r="8" spans="1:21" ht="12.75">
      <c r="A8" s="39"/>
      <c r="B8" s="39"/>
      <c r="D8" s="104" t="s">
        <v>203</v>
      </c>
      <c r="E8" s="46"/>
      <c r="F8" s="105" t="s">
        <v>12</v>
      </c>
      <c r="G8" s="46"/>
      <c r="H8" s="224" t="s">
        <v>11</v>
      </c>
      <c r="I8" s="223"/>
      <c r="J8" s="104"/>
      <c r="K8" s="46"/>
      <c r="L8" s="46"/>
      <c r="M8" s="46"/>
      <c r="N8" s="46"/>
      <c r="O8" s="46"/>
      <c r="P8" s="46"/>
      <c r="Q8" s="46"/>
      <c r="R8" s="46"/>
      <c r="S8" s="46"/>
      <c r="T8" s="29"/>
      <c r="U8" s="29"/>
    </row>
    <row r="9" spans="1:21" ht="12.75">
      <c r="A9" s="47"/>
      <c r="B9" s="48"/>
      <c r="C9" s="50"/>
      <c r="D9" s="104"/>
      <c r="E9" s="52"/>
      <c r="F9" s="226">
        <f>Operating!$C$25</f>
        <v>1006400</v>
      </c>
      <c r="G9" s="102" t="s">
        <v>94</v>
      </c>
      <c r="H9" s="226">
        <f>Operating!$C$13</f>
        <v>2272100</v>
      </c>
      <c r="I9" s="102" t="s">
        <v>91</v>
      </c>
      <c r="J9" s="243">
        <f>F9/H9</f>
        <v>0.4429382509572642</v>
      </c>
      <c r="K9" s="52"/>
      <c r="L9" s="52"/>
      <c r="M9" s="52"/>
      <c r="N9" s="52"/>
      <c r="O9" s="52"/>
      <c r="P9" s="52"/>
      <c r="Q9" s="52"/>
      <c r="R9" s="52"/>
      <c r="S9" s="52"/>
      <c r="T9" s="29"/>
      <c r="U9" s="29"/>
    </row>
    <row r="10" spans="1:21" ht="12.75">
      <c r="A10" s="47"/>
      <c r="B10" s="48"/>
      <c r="C10" s="54"/>
      <c r="D10" s="54"/>
      <c r="E10" s="54"/>
      <c r="F10" s="221"/>
      <c r="G10" s="54"/>
      <c r="H10" s="54"/>
      <c r="I10" s="54"/>
      <c r="J10" s="244"/>
      <c r="K10" s="54"/>
      <c r="L10" s="54"/>
      <c r="M10" s="54"/>
      <c r="N10" s="54"/>
      <c r="O10" s="54"/>
      <c r="P10" s="54"/>
      <c r="Q10" s="54"/>
      <c r="R10" s="54"/>
      <c r="S10" s="54"/>
      <c r="T10" s="29"/>
      <c r="U10" s="29"/>
    </row>
    <row r="11" spans="1:21" ht="12.75">
      <c r="A11" s="47"/>
      <c r="B11" s="48"/>
      <c r="C11" s="52"/>
      <c r="D11" s="104" t="s">
        <v>204</v>
      </c>
      <c r="E11" s="52"/>
      <c r="F11" s="105" t="s">
        <v>207</v>
      </c>
      <c r="G11" s="52"/>
      <c r="H11" s="225" t="s">
        <v>11</v>
      </c>
      <c r="I11" s="52"/>
      <c r="J11" s="245"/>
      <c r="K11" s="107"/>
      <c r="L11" s="107"/>
      <c r="M11" s="54"/>
      <c r="N11" s="54"/>
      <c r="O11" s="54"/>
      <c r="P11" s="54"/>
      <c r="Q11" s="54"/>
      <c r="R11" s="54"/>
      <c r="S11" s="54"/>
      <c r="T11" s="29"/>
      <c r="U11" s="29"/>
    </row>
    <row r="12" spans="1:21" ht="12.75">
      <c r="A12" s="47"/>
      <c r="B12" s="39"/>
      <c r="C12" s="52"/>
      <c r="D12" s="52"/>
      <c r="E12" s="52"/>
      <c r="F12" s="226">
        <f>Operating!$C$25+Mortgage!L15</f>
        <v>1809400</v>
      </c>
      <c r="G12" s="102" t="s">
        <v>94</v>
      </c>
      <c r="H12" s="226">
        <f>Operating!$C$13</f>
        <v>2272100</v>
      </c>
      <c r="I12" s="102" t="s">
        <v>91</v>
      </c>
      <c r="J12" s="243">
        <f>F12/H12</f>
        <v>0.796355794199199</v>
      </c>
      <c r="K12" s="52"/>
      <c r="L12" s="52"/>
      <c r="M12" s="52"/>
      <c r="N12" s="52"/>
      <c r="O12" s="52"/>
      <c r="P12" s="52"/>
      <c r="Q12" s="52"/>
      <c r="R12" s="52"/>
      <c r="S12" s="52"/>
      <c r="T12" s="29"/>
      <c r="U12" s="29"/>
    </row>
    <row r="13" spans="1:21" ht="12.75">
      <c r="A13" s="47"/>
      <c r="B13" s="48"/>
      <c r="C13" s="50"/>
      <c r="D13" s="50"/>
      <c r="E13" s="50"/>
      <c r="F13" s="222"/>
      <c r="G13" s="50"/>
      <c r="H13" s="156"/>
      <c r="I13" s="50"/>
      <c r="J13" s="227"/>
      <c r="K13" s="50"/>
      <c r="L13" s="50"/>
      <c r="M13" s="50"/>
      <c r="N13" s="50"/>
      <c r="O13" s="50"/>
      <c r="P13" s="50"/>
      <c r="Q13" s="50"/>
      <c r="R13" s="50"/>
      <c r="S13" s="50"/>
      <c r="T13" s="29"/>
      <c r="U13" s="29"/>
    </row>
    <row r="14" spans="1:21" ht="12.75">
      <c r="A14" s="39"/>
      <c r="B14" s="39"/>
      <c r="D14" s="104" t="s">
        <v>210</v>
      </c>
      <c r="E14" s="46"/>
      <c r="F14" s="225" t="s">
        <v>13</v>
      </c>
      <c r="G14" s="46"/>
      <c r="H14" s="225" t="s">
        <v>211</v>
      </c>
      <c r="I14" s="46"/>
      <c r="J14" s="231"/>
      <c r="K14" s="80"/>
      <c r="L14" s="56"/>
      <c r="M14" s="56"/>
      <c r="N14" s="56"/>
      <c r="O14" s="56"/>
      <c r="P14" s="56"/>
      <c r="Q14" s="56"/>
      <c r="R14" s="56"/>
      <c r="S14" s="56"/>
      <c r="T14" s="29"/>
      <c r="U14" s="29"/>
    </row>
    <row r="15" spans="1:21" ht="12.75">
      <c r="A15" s="39"/>
      <c r="B15" s="48"/>
      <c r="C15" s="50"/>
      <c r="D15" s="104"/>
      <c r="E15" s="52"/>
      <c r="F15" s="226">
        <f>Operating!$C$27</f>
        <v>1265700</v>
      </c>
      <c r="G15" s="102" t="s">
        <v>94</v>
      </c>
      <c r="H15" s="226">
        <f>Mortgage!L15</f>
        <v>803000</v>
      </c>
      <c r="I15" s="102" t="s">
        <v>91</v>
      </c>
      <c r="J15" s="229">
        <f>F15/H15</f>
        <v>1.576214196762142</v>
      </c>
      <c r="K15" s="56"/>
      <c r="L15" s="56"/>
      <c r="M15" s="56"/>
      <c r="N15" s="56"/>
      <c r="O15" s="56"/>
      <c r="P15" s="56"/>
      <c r="Q15" s="56"/>
      <c r="R15" s="56"/>
      <c r="S15" s="56"/>
      <c r="T15" s="29"/>
      <c r="U15" s="29"/>
    </row>
    <row r="16" spans="1:21" ht="12.75">
      <c r="A16" s="39"/>
      <c r="B16" s="48"/>
      <c r="C16" s="54"/>
      <c r="D16" s="54"/>
      <c r="E16" s="54"/>
      <c r="F16" s="54"/>
      <c r="G16" s="54"/>
      <c r="H16" s="216"/>
      <c r="I16" s="54"/>
      <c r="J16" s="217"/>
      <c r="K16" s="50"/>
      <c r="L16" s="56"/>
      <c r="M16" s="56"/>
      <c r="N16" s="56"/>
      <c r="O16" s="56"/>
      <c r="P16" s="56"/>
      <c r="Q16" s="56"/>
      <c r="R16" s="56"/>
      <c r="S16" s="56"/>
      <c r="T16" s="29"/>
      <c r="U16" s="29"/>
    </row>
    <row r="17" spans="1:21" ht="12.75">
      <c r="A17" s="39"/>
      <c r="B17" s="48"/>
      <c r="C17" s="54"/>
      <c r="D17" s="104" t="s">
        <v>219</v>
      </c>
      <c r="E17" s="46"/>
      <c r="F17" s="225" t="s">
        <v>220</v>
      </c>
      <c r="G17" s="46"/>
      <c r="H17" s="105" t="s">
        <v>189</v>
      </c>
      <c r="I17" s="46"/>
      <c r="J17" s="231"/>
      <c r="K17" s="50"/>
      <c r="L17" s="56"/>
      <c r="M17" s="56"/>
      <c r="N17" s="56"/>
      <c r="O17" s="56"/>
      <c r="P17" s="56"/>
      <c r="Q17" s="56"/>
      <c r="R17" s="56"/>
      <c r="S17" s="56"/>
      <c r="T17" s="29"/>
      <c r="U17" s="29"/>
    </row>
    <row r="18" spans="1:21" ht="12.75">
      <c r="A18" s="39"/>
      <c r="B18" s="48"/>
      <c r="C18" s="54"/>
      <c r="D18" s="104"/>
      <c r="E18" s="52"/>
      <c r="F18" s="226">
        <f>Mortgage!C10</f>
        <v>8000000</v>
      </c>
      <c r="G18" s="102" t="s">
        <v>94</v>
      </c>
      <c r="H18" s="226">
        <f>Sale!$D$9</f>
        <v>11444500</v>
      </c>
      <c r="I18" s="102" t="s">
        <v>91</v>
      </c>
      <c r="J18" s="243">
        <f>F18/H18</f>
        <v>0.6990257328847919</v>
      </c>
      <c r="K18" s="50"/>
      <c r="L18" s="56"/>
      <c r="M18" s="56"/>
      <c r="N18" s="56"/>
      <c r="O18" s="56"/>
      <c r="P18" s="56"/>
      <c r="Q18" s="56"/>
      <c r="R18" s="56"/>
      <c r="S18" s="56"/>
      <c r="T18" s="29"/>
      <c r="U18" s="29"/>
    </row>
    <row r="19" spans="1:21" ht="12.75">
      <c r="A19" s="39"/>
      <c r="B19" s="48"/>
      <c r="C19" s="54"/>
      <c r="D19" s="54"/>
      <c r="E19" s="54"/>
      <c r="F19" s="54"/>
      <c r="G19" s="54"/>
      <c r="H19" s="216"/>
      <c r="I19" s="54"/>
      <c r="J19" s="217"/>
      <c r="K19" s="50"/>
      <c r="L19" s="56"/>
      <c r="M19" s="56"/>
      <c r="N19" s="56"/>
      <c r="O19" s="56"/>
      <c r="P19" s="56"/>
      <c r="Q19" s="56"/>
      <c r="R19" s="56"/>
      <c r="S19" s="56"/>
      <c r="T19" s="29"/>
      <c r="U19" s="29"/>
    </row>
    <row r="20" spans="1:21" ht="12.75">
      <c r="A20" s="39"/>
      <c r="B20" s="39"/>
      <c r="C20" s="56"/>
      <c r="D20" s="56"/>
      <c r="E20" s="56"/>
      <c r="F20" s="56"/>
      <c r="G20" s="56"/>
      <c r="H20" s="56"/>
      <c r="I20" s="56"/>
      <c r="J20" s="228"/>
      <c r="K20" s="56"/>
      <c r="L20" s="56"/>
      <c r="M20" s="56"/>
      <c r="N20" s="56"/>
      <c r="O20" s="56"/>
      <c r="P20" s="56"/>
      <c r="Q20" s="56"/>
      <c r="R20" s="56"/>
      <c r="S20" s="56"/>
      <c r="T20" s="29"/>
      <c r="U20" s="29"/>
    </row>
    <row r="21" spans="1:21" ht="12.75">
      <c r="A21" s="39"/>
      <c r="B21" s="1" t="s">
        <v>213</v>
      </c>
      <c r="C21" s="56"/>
      <c r="D21" s="56"/>
      <c r="E21" s="56"/>
      <c r="F21" s="56"/>
      <c r="G21" s="56"/>
      <c r="H21" s="56"/>
      <c r="I21" s="56"/>
      <c r="J21" s="228"/>
      <c r="K21" s="56"/>
      <c r="L21" s="56"/>
      <c r="M21" s="56"/>
      <c r="N21" s="56"/>
      <c r="O21" s="56"/>
      <c r="P21" s="56"/>
      <c r="Q21" s="56"/>
      <c r="R21" s="56"/>
      <c r="S21" s="56"/>
      <c r="T21" s="29"/>
      <c r="U21" s="29"/>
    </row>
    <row r="22" spans="1:21" ht="12.75">
      <c r="A22" s="39"/>
      <c r="B22" s="39"/>
      <c r="C22" s="56"/>
      <c r="D22" s="104" t="s">
        <v>197</v>
      </c>
      <c r="E22" s="46"/>
      <c r="F22" s="225" t="s">
        <v>13</v>
      </c>
      <c r="G22" s="46"/>
      <c r="H22" s="105" t="s">
        <v>189</v>
      </c>
      <c r="I22" s="46"/>
      <c r="J22" s="231"/>
      <c r="K22" s="56"/>
      <c r="L22" s="56"/>
      <c r="M22" s="56"/>
      <c r="N22" s="56"/>
      <c r="O22" s="56"/>
      <c r="P22" s="56"/>
      <c r="Q22" s="56"/>
      <c r="R22" s="56"/>
      <c r="S22" s="56"/>
      <c r="T22" s="29"/>
      <c r="U22" s="29"/>
    </row>
    <row r="23" spans="1:21" ht="12.75">
      <c r="A23" s="39"/>
      <c r="B23" s="39"/>
      <c r="C23" s="56"/>
      <c r="D23" s="104"/>
      <c r="E23" s="52"/>
      <c r="F23" s="226">
        <f>Operating!$C$27</f>
        <v>1265700</v>
      </c>
      <c r="G23" s="102" t="s">
        <v>94</v>
      </c>
      <c r="H23" s="226">
        <f>Sale!$D$9</f>
        <v>11444500</v>
      </c>
      <c r="I23" s="102" t="s">
        <v>91</v>
      </c>
      <c r="J23" s="232">
        <f>F23/H23</f>
        <v>0.11059460876403512</v>
      </c>
      <c r="K23" s="56"/>
      <c r="L23" s="56"/>
      <c r="M23" s="56"/>
      <c r="N23" s="56"/>
      <c r="O23" s="56"/>
      <c r="P23" s="56"/>
      <c r="Q23" s="56"/>
      <c r="R23" s="56"/>
      <c r="S23" s="56"/>
      <c r="T23" s="29"/>
      <c r="U23" s="29"/>
    </row>
    <row r="24" spans="1:21" ht="12.75">
      <c r="A24" s="39"/>
      <c r="B24" s="39"/>
      <c r="C24" s="56"/>
      <c r="D24" s="56"/>
      <c r="E24" s="56"/>
      <c r="F24" s="56"/>
      <c r="G24" s="56"/>
      <c r="H24" s="56"/>
      <c r="I24" s="56"/>
      <c r="J24" s="228"/>
      <c r="K24" s="56"/>
      <c r="L24" s="56"/>
      <c r="M24" s="56"/>
      <c r="N24" s="56"/>
      <c r="O24" s="56"/>
      <c r="P24" s="56"/>
      <c r="Q24" s="56"/>
      <c r="R24" s="56"/>
      <c r="S24" s="56"/>
      <c r="T24" s="29"/>
      <c r="U24" s="29"/>
    </row>
    <row r="25" spans="1:21" ht="12.75">
      <c r="A25" s="39"/>
      <c r="B25" s="39"/>
      <c r="C25" s="56"/>
      <c r="D25" s="246" t="s">
        <v>214</v>
      </c>
      <c r="E25" s="46"/>
      <c r="F25" s="225" t="s">
        <v>13</v>
      </c>
      <c r="G25" s="46"/>
      <c r="H25" s="104" t="s">
        <v>202</v>
      </c>
      <c r="I25" s="46"/>
      <c r="J25" s="105"/>
      <c r="K25" s="56"/>
      <c r="L25" s="56"/>
      <c r="M25" s="56"/>
      <c r="N25" s="56"/>
      <c r="O25" s="56"/>
      <c r="P25" s="56"/>
      <c r="Q25" s="56"/>
      <c r="R25" s="56"/>
      <c r="S25" s="56"/>
      <c r="T25" s="29"/>
      <c r="U25" s="29"/>
    </row>
    <row r="26" spans="1:21" ht="12.75">
      <c r="A26" s="39"/>
      <c r="B26" s="39"/>
      <c r="C26" s="56"/>
      <c r="E26" s="52"/>
      <c r="F26" s="226">
        <f>Operating!$C$27</f>
        <v>1265700</v>
      </c>
      <c r="G26" s="102" t="s">
        <v>94</v>
      </c>
      <c r="H26" s="106">
        <v>0.1</v>
      </c>
      <c r="I26" s="102" t="s">
        <v>91</v>
      </c>
      <c r="J26" s="230">
        <f>F26/H26</f>
        <v>12657000</v>
      </c>
      <c r="K26" s="56"/>
      <c r="L26" s="56"/>
      <c r="M26" s="56"/>
      <c r="N26" s="56"/>
      <c r="O26" s="56"/>
      <c r="P26" s="56"/>
      <c r="Q26" s="56"/>
      <c r="R26" s="56"/>
      <c r="S26" s="56"/>
      <c r="T26" s="29"/>
      <c r="U26" s="29"/>
    </row>
    <row r="27" spans="1:21" ht="12.75">
      <c r="A27" s="39"/>
      <c r="B27" s="39"/>
      <c r="C27" s="56"/>
      <c r="D27" s="56"/>
      <c r="E27" s="56"/>
      <c r="F27" s="56"/>
      <c r="G27" s="56"/>
      <c r="H27" s="56"/>
      <c r="I27" s="56"/>
      <c r="J27" s="228"/>
      <c r="K27" s="56"/>
      <c r="L27" s="56"/>
      <c r="M27" s="56"/>
      <c r="N27" s="56"/>
      <c r="O27" s="56"/>
      <c r="P27" s="56"/>
      <c r="Q27" s="56"/>
      <c r="R27" s="56"/>
      <c r="S27" s="56"/>
      <c r="T27" s="29"/>
      <c r="U27" s="29"/>
    </row>
    <row r="28" spans="1:19" ht="12.75">
      <c r="A28" s="39"/>
      <c r="B28" s="39"/>
      <c r="C28" s="52"/>
      <c r="D28" s="104" t="s">
        <v>215</v>
      </c>
      <c r="E28" s="52"/>
      <c r="F28" s="224" t="s">
        <v>14</v>
      </c>
      <c r="G28" s="52"/>
      <c r="H28" s="219" t="s">
        <v>216</v>
      </c>
      <c r="I28" s="46"/>
      <c r="J28" s="104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39"/>
      <c r="B29" s="48"/>
      <c r="C29" s="52"/>
      <c r="D29" s="247" t="s">
        <v>221</v>
      </c>
      <c r="E29" s="52"/>
      <c r="F29" s="226">
        <f>BTCF!$C$30</f>
        <v>462700</v>
      </c>
      <c r="G29" s="102" t="s">
        <v>94</v>
      </c>
      <c r="H29" s="241">
        <f>DCF!$G$14</f>
        <v>3594500</v>
      </c>
      <c r="I29" s="102" t="s">
        <v>91</v>
      </c>
      <c r="J29" s="232">
        <f>F29/H29</f>
        <v>0.12872444011684517</v>
      </c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.75">
      <c r="A30" s="39"/>
      <c r="B30" s="48"/>
      <c r="C30" s="54"/>
      <c r="D30" s="54"/>
      <c r="E30" s="54"/>
      <c r="F30" s="54"/>
      <c r="G30" s="54"/>
      <c r="H30" s="54"/>
      <c r="I30" s="54"/>
      <c r="J30" s="217"/>
      <c r="K30" s="39"/>
      <c r="L30" s="39"/>
      <c r="M30" s="39"/>
      <c r="N30" s="39"/>
      <c r="O30" s="39"/>
      <c r="P30" s="39"/>
      <c r="Q30" s="39"/>
      <c r="R30" s="39"/>
      <c r="S30" s="39"/>
    </row>
    <row r="31" spans="4:10" ht="12.75">
      <c r="D31" s="104" t="s">
        <v>215</v>
      </c>
      <c r="E31" s="52"/>
      <c r="F31" s="224" t="s">
        <v>16</v>
      </c>
      <c r="G31" s="52"/>
      <c r="H31" s="219" t="s">
        <v>216</v>
      </c>
      <c r="I31" s="46"/>
      <c r="J31" s="104"/>
    </row>
    <row r="32" spans="4:10" ht="12.75">
      <c r="D32" s="247" t="s">
        <v>222</v>
      </c>
      <c r="E32" s="52"/>
      <c r="F32" s="226">
        <f>ATCF!$C$43</f>
        <v>339600</v>
      </c>
      <c r="G32" s="102" t="s">
        <v>94</v>
      </c>
      <c r="H32" s="241">
        <f>DCF!$G$14</f>
        <v>3594500</v>
      </c>
      <c r="I32" s="102" t="s">
        <v>91</v>
      </c>
      <c r="J32" s="232">
        <f>F32/H32</f>
        <v>0.09447767422450967</v>
      </c>
    </row>
    <row r="33" ht="12.75">
      <c r="H33" s="242"/>
    </row>
    <row r="34" ht="12.75">
      <c r="F34" s="8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Greg Smersh</dc:creator>
  <cp:keywords/>
  <dc:description/>
  <cp:lastModifiedBy>Matt Evans</cp:lastModifiedBy>
  <cp:lastPrinted>2000-01-31T18:23:01Z</cp:lastPrinted>
  <dcterms:created xsi:type="dcterms:W3CDTF">2000-01-29T17:12:03Z</dcterms:created>
  <dcterms:modified xsi:type="dcterms:W3CDTF">2010-07-05T18:08:59Z</dcterms:modified>
  <cp:category/>
  <cp:version/>
  <cp:contentType/>
  <cp:contentStatus/>
</cp:coreProperties>
</file>